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อ้อ\อบต.บึงทวาย\แผนอัตรากำลัง\ประจำปีงบประมาณ  พ.ศ.2564-2566\"/>
    </mc:Choice>
  </mc:AlternateContent>
  <bookViews>
    <workbookView xWindow="120" yWindow="45" windowWidth="15480" windowHeight="8130"/>
  </bookViews>
  <sheets>
    <sheet name="ภาระ คชจ. เปิด นสธ. ยุบ สธ" sheetId="5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S81" i="5" l="1"/>
  <c r="R81" i="5"/>
  <c r="Q81" i="5"/>
  <c r="P81" i="5"/>
  <c r="O81" i="5"/>
  <c r="N81" i="5"/>
  <c r="M81" i="5"/>
  <c r="L81" i="5"/>
  <c r="J81" i="5"/>
  <c r="I81" i="5"/>
  <c r="H81" i="5"/>
  <c r="E81" i="5"/>
  <c r="D81" i="5"/>
  <c r="P40" i="5" l="1"/>
  <c r="O40" i="5"/>
  <c r="N40" i="5"/>
  <c r="F40" i="5"/>
  <c r="N10" i="5" l="1"/>
  <c r="S10" i="5" s="1"/>
  <c r="F10" i="5"/>
  <c r="P10" i="5"/>
  <c r="O10" i="5"/>
  <c r="R10" i="5" l="1"/>
  <c r="Q10" i="5"/>
  <c r="F37" i="5"/>
  <c r="R37" i="5" s="1"/>
  <c r="F16" i="5"/>
  <c r="S37" i="5" l="1"/>
  <c r="Q37" i="5"/>
  <c r="P80" i="5"/>
  <c r="O80" i="5"/>
  <c r="N80" i="5"/>
  <c r="P76" i="5"/>
  <c r="O76" i="5"/>
  <c r="N76" i="5"/>
  <c r="P75" i="5"/>
  <c r="O75" i="5"/>
  <c r="N75" i="5"/>
  <c r="P71" i="5"/>
  <c r="O71" i="5"/>
  <c r="N71" i="5"/>
  <c r="P70" i="5"/>
  <c r="O70" i="5"/>
  <c r="N70" i="5"/>
  <c r="P49" i="5"/>
  <c r="O49" i="5"/>
  <c r="N49" i="5"/>
  <c r="P48" i="5"/>
  <c r="O48" i="5"/>
  <c r="N48" i="5"/>
  <c r="P41" i="5"/>
  <c r="O41" i="5"/>
  <c r="N41" i="5"/>
  <c r="P28" i="5"/>
  <c r="O28" i="5"/>
  <c r="N28" i="5"/>
  <c r="P27" i="5"/>
  <c r="O27" i="5"/>
  <c r="N27" i="5"/>
  <c r="P26" i="5"/>
  <c r="O26" i="5"/>
  <c r="N26" i="5"/>
  <c r="P25" i="5"/>
  <c r="O25" i="5"/>
  <c r="N25" i="5"/>
  <c r="P24" i="5"/>
  <c r="O24" i="5"/>
  <c r="N24" i="5"/>
  <c r="P12" i="5"/>
  <c r="O12" i="5"/>
  <c r="N12" i="5"/>
  <c r="P9" i="5"/>
  <c r="O9" i="5"/>
  <c r="N9" i="5"/>
  <c r="P8" i="5"/>
  <c r="O8" i="5"/>
  <c r="N8" i="5"/>
  <c r="S56" i="5" l="1"/>
  <c r="R56" i="5"/>
  <c r="Q56" i="5"/>
  <c r="F55" i="5" l="1"/>
  <c r="Q55" i="5" s="1"/>
  <c r="R55" i="5" l="1"/>
  <c r="S55" i="5"/>
  <c r="P6" i="5"/>
  <c r="O6" i="5"/>
  <c r="N6" i="5"/>
  <c r="Q11" i="5"/>
  <c r="P11" i="5"/>
  <c r="O11" i="5"/>
  <c r="P13" i="5" l="1"/>
  <c r="O13" i="5"/>
  <c r="N13" i="5"/>
  <c r="P5" i="5"/>
  <c r="O5" i="5"/>
  <c r="N5" i="5"/>
  <c r="R14" i="5" l="1"/>
  <c r="S14" i="5"/>
  <c r="Q14" i="5"/>
  <c r="F78" i="5" l="1"/>
  <c r="F73" i="5"/>
  <c r="F46" i="5"/>
  <c r="F45" i="5"/>
  <c r="F44" i="5"/>
  <c r="F43" i="5"/>
  <c r="F38" i="5"/>
  <c r="F20" i="5"/>
  <c r="F21" i="5"/>
  <c r="F22" i="5"/>
  <c r="F19" i="5"/>
  <c r="F17" i="5"/>
  <c r="F76" i="5"/>
  <c r="F80" i="5"/>
  <c r="F75" i="5"/>
  <c r="F71" i="5"/>
  <c r="F70" i="5"/>
  <c r="F49" i="5"/>
  <c r="F48" i="5"/>
  <c r="F41" i="5"/>
  <c r="F28" i="5"/>
  <c r="F27" i="5"/>
  <c r="F26" i="5"/>
  <c r="F25" i="5"/>
  <c r="F24" i="5"/>
  <c r="F13" i="5"/>
  <c r="F12" i="5"/>
  <c r="F9" i="5"/>
  <c r="F8" i="5"/>
  <c r="F6" i="5"/>
  <c r="F5" i="5"/>
  <c r="F81" i="5" s="1"/>
  <c r="S41" i="5" l="1"/>
  <c r="R41" i="5"/>
  <c r="Q41" i="5"/>
  <c r="Q73" i="5"/>
  <c r="S73" i="5"/>
  <c r="R73" i="5"/>
  <c r="S38" i="5"/>
  <c r="R38" i="5"/>
  <c r="Q38" i="5"/>
  <c r="R27" i="5"/>
  <c r="S27" i="5"/>
  <c r="Q27" i="5"/>
  <c r="R17" i="5"/>
  <c r="Q17" i="5"/>
  <c r="S17" i="5"/>
  <c r="S43" i="5"/>
  <c r="Q43" i="5"/>
  <c r="R43" i="5"/>
  <c r="S71" i="5"/>
  <c r="R71" i="5"/>
  <c r="Q71" i="5"/>
  <c r="S80" i="5"/>
  <c r="R80" i="5"/>
  <c r="Q80" i="5"/>
  <c r="R16" i="5"/>
  <c r="Q16" i="5"/>
  <c r="S16" i="5"/>
  <c r="S44" i="5"/>
  <c r="Q44" i="5"/>
  <c r="R44" i="5"/>
  <c r="Q26" i="5"/>
  <c r="S26" i="5"/>
  <c r="R26" i="5"/>
  <c r="Q28" i="5"/>
  <c r="R28" i="5"/>
  <c r="S28" i="5"/>
  <c r="S9" i="5"/>
  <c r="R9" i="5"/>
  <c r="Q9" i="5"/>
  <c r="R76" i="5"/>
  <c r="Q76" i="5"/>
  <c r="S76" i="5"/>
  <c r="S45" i="5"/>
  <c r="Q45" i="5"/>
  <c r="R45" i="5"/>
  <c r="Q12" i="5"/>
  <c r="S12" i="5"/>
  <c r="R12" i="5"/>
  <c r="S46" i="5"/>
  <c r="R46" i="5"/>
  <c r="Q46" i="5"/>
  <c r="Q25" i="5"/>
  <c r="R25" i="5"/>
  <c r="S25" i="5"/>
  <c r="R13" i="5"/>
  <c r="Q13" i="5"/>
  <c r="S13" i="5"/>
  <c r="R49" i="5"/>
  <c r="S49" i="5"/>
  <c r="Q49" i="5"/>
  <c r="S78" i="5"/>
  <c r="Q78" i="5"/>
  <c r="R78" i="5"/>
  <c r="N11" i="5" l="1"/>
  <c r="S11" i="5" l="1"/>
  <c r="R11" i="5"/>
  <c r="S21" i="5"/>
  <c r="G75" i="5"/>
  <c r="G70" i="5"/>
  <c r="G48" i="5"/>
  <c r="G40" i="5"/>
  <c r="G24" i="5"/>
  <c r="G8" i="5"/>
  <c r="G6" i="5"/>
  <c r="G5" i="5"/>
  <c r="G81" i="5" s="1"/>
  <c r="S75" i="5" l="1"/>
  <c r="R75" i="5"/>
  <c r="Q75" i="5"/>
  <c r="Q8" i="5"/>
  <c r="S8" i="5"/>
  <c r="R8" i="5"/>
  <c r="R24" i="5"/>
  <c r="S24" i="5"/>
  <c r="Q24" i="5"/>
  <c r="S40" i="5"/>
  <c r="Q40" i="5"/>
  <c r="R40" i="5"/>
  <c r="R48" i="5"/>
  <c r="Q48" i="5"/>
  <c r="S48" i="5"/>
  <c r="S70" i="5"/>
  <c r="R70" i="5"/>
  <c r="Q70" i="5"/>
  <c r="S6" i="5"/>
  <c r="R6" i="5"/>
  <c r="Q6" i="5"/>
  <c r="Q5" i="5"/>
  <c r="S5" i="5"/>
  <c r="R5" i="5"/>
  <c r="Q21" i="5"/>
  <c r="R21" i="5"/>
  <c r="F88" i="5" l="1"/>
  <c r="F89" i="5" s="1"/>
  <c r="F90" i="5" s="1"/>
  <c r="S53" i="5"/>
  <c r="R53" i="5"/>
  <c r="Q53" i="5"/>
  <c r="S52" i="5"/>
  <c r="R52" i="5"/>
  <c r="Q52" i="5"/>
  <c r="S51" i="5"/>
  <c r="R51" i="5"/>
  <c r="Q51" i="5"/>
  <c r="S50" i="5"/>
  <c r="R50" i="5"/>
  <c r="Q50" i="5"/>
  <c r="R22" i="5"/>
  <c r="R20" i="5"/>
  <c r="R19" i="5"/>
  <c r="Q20" i="5" l="1"/>
  <c r="S19" i="5"/>
  <c r="S22" i="5"/>
  <c r="Q19" i="5"/>
  <c r="S20" i="5"/>
  <c r="Q22" i="5"/>
  <c r="Q82" i="5" l="1"/>
  <c r="S82" i="5"/>
  <c r="R82" i="5" l="1"/>
  <c r="R83" i="5" s="1"/>
  <c r="R84" i="5" s="1"/>
  <c r="Q83" i="5"/>
  <c r="Q84" i="5" s="1"/>
  <c r="S83" i="5"/>
  <c r="S84" i="5" s="1"/>
</calcChain>
</file>

<file path=xl/sharedStrings.xml><?xml version="1.0" encoding="utf-8"?>
<sst xmlns="http://schemas.openxmlformats.org/spreadsheetml/2006/main" count="171" uniqueCount="99">
  <si>
    <t xml:space="preserve">9.  ภาระค่าใช้จ่ายเกี่ยวกับเงินเดือนและประโยชน์ตอบแทนอื่น </t>
  </si>
  <si>
    <t>ที่</t>
  </si>
  <si>
    <t>ชื่อสายงาน</t>
  </si>
  <si>
    <t>ระดับ</t>
  </si>
  <si>
    <t>ตำแหน่ง</t>
  </si>
  <si>
    <t>จำนวน</t>
  </si>
  <si>
    <t>ทั้งหมด</t>
  </si>
  <si>
    <t>จำนวนที่มีอยู่ปัจจุบัน</t>
  </si>
  <si>
    <t>อัตราตำแหน่งที่คาดว่าจะต้องใช้</t>
  </si>
  <si>
    <t xml:space="preserve">จำนวน  </t>
  </si>
  <si>
    <t>(คน)</t>
  </si>
  <si>
    <t>เงินเดือน</t>
  </si>
  <si>
    <t>(1)</t>
  </si>
  <si>
    <t>เจ้าพนักงานธุรการ</t>
  </si>
  <si>
    <t>นักวิชาการเงินและบัญชี</t>
  </si>
  <si>
    <t>เจ้าพนักงานการเงินและบัญชี</t>
  </si>
  <si>
    <t>นักวิชาการศึกษา</t>
  </si>
  <si>
    <t>รวม</t>
  </si>
  <si>
    <t>(4)</t>
  </si>
  <si>
    <t>(5)</t>
  </si>
  <si>
    <t>(6)</t>
  </si>
  <si>
    <t>(7)</t>
  </si>
  <si>
    <t>นักพัฒนาชุมชน</t>
  </si>
  <si>
    <t>พนักงานจ้างตามภารกิจ</t>
  </si>
  <si>
    <t>พนักงานจ้างทั่วไป</t>
  </si>
  <si>
    <t>รวมเป็นค่าใช้จ่ายบุคคลทั้งสิ้น</t>
  </si>
  <si>
    <t>เหตุ</t>
  </si>
  <si>
    <t>หมาย</t>
  </si>
  <si>
    <t>รายจ่ายประจำปี</t>
  </si>
  <si>
    <t>คิดเป็นร้อยละ 40 ของงบประมาณ</t>
  </si>
  <si>
    <t>2.  กองคลัง  (04)</t>
  </si>
  <si>
    <t>4.  กองการศึกษา  (08)</t>
  </si>
  <si>
    <t>5.  กองสวัสดิการสังคม  (11)</t>
  </si>
  <si>
    <t>กลาง</t>
  </si>
  <si>
    <t>ต้น</t>
  </si>
  <si>
    <t>นักวิชาการตรวจสอบภายใน</t>
  </si>
  <si>
    <t>นักทรัพยากรบุคคล</t>
  </si>
  <si>
    <t>ผู้อำนวยการกองคลัง (นักบริหารงานการคลัง)</t>
  </si>
  <si>
    <t>นายช่างโยธา</t>
  </si>
  <si>
    <t>ผู้อำนวยการกองสวัสดิการสังคม (นักบริหารงานฯ)</t>
  </si>
  <si>
    <t>ในช่วงระยะเวลา 3  ปีข้างหน้า</t>
  </si>
  <si>
    <r>
      <t>3.  กองช่าง  (05)</t>
    </r>
    <r>
      <rPr>
        <b/>
        <i/>
        <sz val="12"/>
        <rFont val="TH SarabunIT๙"/>
        <family val="2"/>
      </rPr>
      <t xml:space="preserve">  </t>
    </r>
  </si>
  <si>
    <t>ผู้อำนวยการกองช่าง (นักบริหารงานช่าง)</t>
  </si>
  <si>
    <t>ผู้ช่วยนายช่างไฟฟ้า</t>
  </si>
  <si>
    <t>ผู้ช่วยเจ้าพนักงานธุรการ</t>
  </si>
  <si>
    <t xml:space="preserve">นักวิเคราะห์นโยบายและแผน </t>
  </si>
  <si>
    <t>เงินอุดหนุน</t>
  </si>
  <si>
    <t xml:space="preserve">ครู </t>
  </si>
  <si>
    <t>ผู้ช่วยนายช่างสำรวจ</t>
  </si>
  <si>
    <t>ปลัด  อบต. (นักบริหารงานท้องถิ่น)</t>
  </si>
  <si>
    <t>รองปลัด  อบต.  (นักบริหารงานท้องถิ่น)</t>
  </si>
  <si>
    <t xml:space="preserve">           ประมาณการค่าใช้จ่ายประจำปีงบประมาณ  2564</t>
  </si>
  <si>
    <t xml:space="preserve">           ประมาณการค่าใช้จ่ายประจำปีงบประมาณ  2565</t>
  </si>
  <si>
    <t xml:space="preserve">           ประมาณการค่าใช้จ่ายประจำปีงบประมาณ  2566</t>
  </si>
  <si>
    <t>หมายเหตุ  :  ประมาณการค่าใช้จ่ายประจำปีงบประมาณ  2563</t>
  </si>
  <si>
    <t>เงินประจำ</t>
  </si>
  <si>
    <t>ตำแหน่ง  (2)</t>
  </si>
  <si>
    <t>(เพิ่ม/ลด)</t>
  </si>
  <si>
    <t>อัตรากำลังคน</t>
  </si>
  <si>
    <t>ภาระค่าใช้จ่ายที่เพิ่มขึ้น  (3)</t>
  </si>
  <si>
    <t>ภาระค่าใช้จ่ายรวม  (4)</t>
  </si>
  <si>
    <t>เจ้าพนักงานสาธารณสุข</t>
  </si>
  <si>
    <t>กำหนดเพิ่ม</t>
  </si>
  <si>
    <t xml:space="preserve">ผู้ช่วยเจ้าพนักงานป้องกันและบรรเทาสาธารณภัย </t>
  </si>
  <si>
    <t xml:space="preserve">คนงานประจำเครื่องเจาะน้ำบาดาล </t>
  </si>
  <si>
    <t>เจ้าพนักงานจัดเก็บรายได้</t>
  </si>
  <si>
    <t xml:space="preserve">เจ้าพนักงานพัสดุ  </t>
  </si>
  <si>
    <t xml:space="preserve">ผู้ช่วยเจ้าหน้าที่การเงินและบัญชี </t>
  </si>
  <si>
    <t>ผู้ช่วยนักวิชาการศึกษา</t>
  </si>
  <si>
    <t>ผู้ดูแลเด็ก (ทักษะ)</t>
  </si>
  <si>
    <t>ผู้ช่วยเจ้าพนักงานพัฒนาชุมชน</t>
  </si>
  <si>
    <t>6.  กองส่งเสริมการเกษตร  (14)</t>
  </si>
  <si>
    <t>ผู้อำนวยการกองส่งเสริมการเกษตร (นักบริหารงานการเกษตร)</t>
  </si>
  <si>
    <t>ประมาณการประโยชน์ตอบแทนอื่น  15%</t>
  </si>
  <si>
    <t>ชก.</t>
  </si>
  <si>
    <t>ปก./ชก.</t>
  </si>
  <si>
    <t>ชง.</t>
  </si>
  <si>
    <t>ปง./ชง.</t>
  </si>
  <si>
    <t>ปง.</t>
  </si>
  <si>
    <t>ปก.</t>
  </si>
  <si>
    <t>นักวิชาการสาธารณสุข</t>
  </si>
  <si>
    <t>พนักงานขับรถยนต์  (ทักษะ)</t>
  </si>
  <si>
    <t>7.  หน่วยตรวจสอบภายใน  (12)</t>
  </si>
  <si>
    <t>+1</t>
  </si>
  <si>
    <t xml:space="preserve"> -1</t>
  </si>
  <si>
    <t>นักวิชาการเกษตร</t>
  </si>
  <si>
    <t>ผู้อำนวยการกองการศึกษาฯ (นักบริหารงานการศึกษาฯ)</t>
  </si>
  <si>
    <t xml:space="preserve">ผู้ช่วยนายช่างเขียนแบบ  </t>
  </si>
  <si>
    <t>คนงานประจำรถบรรทุกน้ำเอนกประสงค์</t>
  </si>
  <si>
    <t>ว่างเดิม</t>
  </si>
  <si>
    <t xml:space="preserve"> -32-</t>
  </si>
  <si>
    <t xml:space="preserve"> -33-</t>
  </si>
  <si>
    <t xml:space="preserve"> -34-</t>
  </si>
  <si>
    <t>ยุบแลก</t>
  </si>
  <si>
    <t>1.  สำนักปลัด  อบต.  (01)</t>
  </si>
  <si>
    <t>หัวหน้าสำนักปลัด อบต. (นักบริหารงานทั่วไป)</t>
  </si>
  <si>
    <t>ภารโรง</t>
  </si>
  <si>
    <t>คนงาน</t>
  </si>
  <si>
    <t xml:space="preserve"> +1 -1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</si>
</sst>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name val="TH SarabunIT๙"/>
      <family val="2"/>
    </font>
    <font>
      <b/>
      <u/>
      <sz val="12"/>
      <name val="TH SarabunIT๙"/>
      <family val="2"/>
    </font>
    <font>
      <sz val="11"/>
      <name val="TH SarabunIT๙"/>
      <family val="2"/>
    </font>
    <font>
      <b/>
      <sz val="12"/>
      <name val="TH SarabunIT๙"/>
      <family val="2"/>
    </font>
    <font>
      <sz val="14"/>
      <name val="TH SarabunIT๙"/>
      <family val="2"/>
    </font>
    <font>
      <sz val="10.5"/>
      <name val="TH SarabunIT๙"/>
      <family val="2"/>
    </font>
    <font>
      <b/>
      <i/>
      <u/>
      <sz val="12"/>
      <name val="TH SarabunIT๙"/>
      <family val="2"/>
    </font>
    <font>
      <sz val="10"/>
      <name val="TH SarabunIT๙"/>
      <family val="2"/>
    </font>
    <font>
      <sz val="8.5"/>
      <name val="TH SarabunIT๙"/>
      <family val="2"/>
    </font>
    <font>
      <sz val="9.5"/>
      <name val="TH SarabunIT๙"/>
      <family val="2"/>
    </font>
    <font>
      <b/>
      <sz val="18"/>
      <name val="TH SarabunIT๙"/>
      <family val="2"/>
    </font>
    <font>
      <b/>
      <i/>
      <sz val="12"/>
      <name val="TH SarabunIT๙"/>
      <family val="2"/>
    </font>
    <font>
      <b/>
      <sz val="14"/>
      <name val="TH SarabunIT๙"/>
      <family val="2"/>
    </font>
    <font>
      <sz val="16"/>
      <name val="TH SarabunIT๙"/>
      <family val="2"/>
    </font>
    <font>
      <b/>
      <sz val="11"/>
      <name val="TH SarabunIT๙"/>
      <family val="2"/>
    </font>
    <font>
      <sz val="12"/>
      <color rgb="FFFF0000"/>
      <name val="TH SarabunIT๙"/>
      <family val="2"/>
    </font>
    <font>
      <b/>
      <sz val="9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2">
    <xf numFmtId="0" fontId="0" fillId="0" borderId="0" xfId="0"/>
    <xf numFmtId="49" fontId="2" fillId="2" borderId="1" xfId="0" applyNumberFormat="1" applyFont="1" applyFill="1" applyBorder="1" applyAlignment="1">
      <alignment horizontal="center"/>
    </xf>
    <xf numFmtId="0" fontId="2" fillId="0" borderId="0" xfId="0" applyFont="1"/>
    <xf numFmtId="0" fontId="2" fillId="2" borderId="4" xfId="0" applyFont="1" applyFill="1" applyBorder="1" applyAlignment="1"/>
    <xf numFmtId="0" fontId="2" fillId="0" borderId="0" xfId="0" applyFont="1" applyBorder="1" applyAlignment="1"/>
    <xf numFmtId="0" fontId="6" fillId="0" borderId="0" xfId="0" applyFont="1"/>
    <xf numFmtId="0" fontId="4" fillId="0" borderId="0" xfId="0" applyFont="1"/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49" fontId="2" fillId="2" borderId="6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49" fontId="2" fillId="2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4" fillId="0" borderId="0" xfId="0" applyFont="1"/>
    <xf numFmtId="187" fontId="2" fillId="2" borderId="2" xfId="1" applyNumberFormat="1" applyFont="1" applyFill="1" applyBorder="1" applyAlignment="1">
      <alignment horizontal="center"/>
    </xf>
    <xf numFmtId="187" fontId="2" fillId="2" borderId="4" xfId="1" applyNumberFormat="1" applyFont="1" applyFill="1" applyBorder="1" applyAlignment="1">
      <alignment horizontal="center"/>
    </xf>
    <xf numFmtId="187" fontId="2" fillId="2" borderId="1" xfId="1" applyNumberFormat="1" applyFont="1" applyFill="1" applyBorder="1"/>
    <xf numFmtId="187" fontId="2" fillId="2" borderId="1" xfId="1" applyNumberFormat="1" applyFont="1" applyFill="1" applyBorder="1" applyAlignment="1">
      <alignment horizontal="center"/>
    </xf>
    <xf numFmtId="187" fontId="2" fillId="2" borderId="6" xfId="1" applyNumberFormat="1" applyFont="1" applyFill="1" applyBorder="1" applyAlignment="1">
      <alignment horizontal="center"/>
    </xf>
    <xf numFmtId="187" fontId="2" fillId="2" borderId="0" xfId="1" applyNumberFormat="1" applyFont="1" applyFill="1" applyBorder="1" applyAlignment="1">
      <alignment horizontal="center"/>
    </xf>
    <xf numFmtId="187" fontId="2" fillId="2" borderId="6" xfId="1" applyNumberFormat="1" applyFont="1" applyFill="1" applyBorder="1"/>
    <xf numFmtId="187" fontId="2" fillId="2" borderId="0" xfId="1" applyNumberFormat="1" applyFont="1" applyFill="1" applyBorder="1"/>
    <xf numFmtId="188" fontId="2" fillId="2" borderId="1" xfId="1" applyNumberFormat="1" applyFont="1" applyFill="1" applyBorder="1"/>
    <xf numFmtId="1" fontId="2" fillId="2" borderId="1" xfId="1" applyNumberFormat="1" applyFont="1" applyFill="1" applyBorder="1"/>
    <xf numFmtId="1" fontId="2" fillId="2" borderId="2" xfId="1" applyNumberFormat="1" applyFont="1" applyFill="1" applyBorder="1"/>
    <xf numFmtId="1" fontId="2" fillId="2" borderId="4" xfId="0" applyNumberFormat="1" applyFont="1" applyFill="1" applyBorder="1" applyAlignment="1"/>
    <xf numFmtId="187" fontId="2" fillId="0" borderId="0" xfId="1" applyNumberFormat="1" applyFont="1" applyBorder="1"/>
    <xf numFmtId="187" fontId="6" fillId="0" borderId="0" xfId="1" applyNumberFormat="1" applyFont="1"/>
    <xf numFmtId="187" fontId="4" fillId="0" borderId="0" xfId="1" applyNumberFormat="1" applyFont="1"/>
    <xf numFmtId="0" fontId="15" fillId="2" borderId="0" xfId="0" applyFont="1" applyFill="1"/>
    <xf numFmtId="0" fontId="4" fillId="2" borderId="0" xfId="0" applyFont="1" applyFill="1"/>
    <xf numFmtId="41" fontId="2" fillId="2" borderId="2" xfId="0" applyNumberFormat="1" applyFont="1" applyFill="1" applyBorder="1" applyAlignment="1"/>
    <xf numFmtId="41" fontId="2" fillId="2" borderId="4" xfId="0" applyNumberFormat="1" applyFont="1" applyFill="1" applyBorder="1" applyAlignment="1">
      <alignment horizontal="center"/>
    </xf>
    <xf numFmtId="41" fontId="2" fillId="2" borderId="1" xfId="0" applyNumberFormat="1" applyFont="1" applyFill="1" applyBorder="1" applyAlignment="1">
      <alignment horizontal="center"/>
    </xf>
    <xf numFmtId="41" fontId="2" fillId="2" borderId="6" xfId="0" applyNumberFormat="1" applyFont="1" applyFill="1" applyBorder="1" applyAlignment="1">
      <alignment horizontal="center"/>
    </xf>
    <xf numFmtId="41" fontId="2" fillId="2" borderId="0" xfId="0" applyNumberFormat="1" applyFont="1" applyFill="1" applyBorder="1" applyAlignment="1">
      <alignment horizontal="center"/>
    </xf>
    <xf numFmtId="41" fontId="2" fillId="2" borderId="2" xfId="0" applyNumberFormat="1" applyFont="1" applyFill="1" applyBorder="1" applyAlignment="1">
      <alignment horizontal="center"/>
    </xf>
    <xf numFmtId="187" fontId="4" fillId="2" borderId="1" xfId="1" applyNumberFormat="1" applyFont="1" applyFill="1" applyBorder="1"/>
    <xf numFmtId="187" fontId="2" fillId="2" borderId="2" xfId="1" applyNumberFormat="1" applyFont="1" applyFill="1" applyBorder="1"/>
    <xf numFmtId="43" fontId="2" fillId="2" borderId="2" xfId="1" applyFont="1" applyFill="1" applyBorder="1"/>
    <xf numFmtId="41" fontId="2" fillId="2" borderId="4" xfId="0" applyNumberFormat="1" applyFont="1" applyFill="1" applyBorder="1" applyAlignment="1"/>
    <xf numFmtId="187" fontId="2" fillId="2" borderId="4" xfId="1" applyNumberFormat="1" applyFont="1" applyFill="1" applyBorder="1" applyAlignment="1"/>
    <xf numFmtId="41" fontId="6" fillId="0" borderId="0" xfId="0" applyNumberFormat="1" applyFont="1" applyAlignment="1">
      <alignment horizontal="center"/>
    </xf>
    <xf numFmtId="41" fontId="4" fillId="0" borderId="0" xfId="0" applyNumberFormat="1" applyFont="1" applyAlignment="1">
      <alignment horizontal="center"/>
    </xf>
    <xf numFmtId="41" fontId="4" fillId="2" borderId="0" xfId="0" applyNumberFormat="1" applyFont="1" applyFill="1"/>
    <xf numFmtId="41" fontId="15" fillId="2" borderId="6" xfId="0" applyNumberFormat="1" applyFont="1" applyFill="1" applyBorder="1" applyAlignment="1">
      <alignment horizontal="center"/>
    </xf>
    <xf numFmtId="41" fontId="15" fillId="2" borderId="0" xfId="0" applyNumberFormat="1" applyFont="1" applyFill="1" applyBorder="1" applyAlignment="1">
      <alignment horizontal="center"/>
    </xf>
    <xf numFmtId="41" fontId="2" fillId="0" borderId="0" xfId="0" applyNumberFormat="1" applyFont="1" applyBorder="1" applyAlignment="1"/>
    <xf numFmtId="41" fontId="2" fillId="0" borderId="0" xfId="0" applyNumberFormat="1" applyFont="1" applyAlignment="1">
      <alignment horizontal="left"/>
    </xf>
    <xf numFmtId="41" fontId="6" fillId="0" borderId="0" xfId="0" applyNumberFormat="1" applyFont="1"/>
    <xf numFmtId="41" fontId="4" fillId="0" borderId="0" xfId="0" applyNumberFormat="1" applyFont="1"/>
    <xf numFmtId="187" fontId="2" fillId="2" borderId="0" xfId="1" applyNumberFormat="1" applyFont="1" applyFill="1" applyAlignment="1">
      <alignment horizontal="center"/>
    </xf>
    <xf numFmtId="187" fontId="2" fillId="2" borderId="2" xfId="1" applyNumberFormat="1" applyFont="1" applyFill="1" applyBorder="1" applyAlignment="1">
      <alignment horizontal="center" vertical="center"/>
    </xf>
    <xf numFmtId="187" fontId="2" fillId="2" borderId="3" xfId="1" applyNumberFormat="1" applyFont="1" applyFill="1" applyBorder="1" applyAlignment="1">
      <alignment horizontal="center" vertical="center"/>
    </xf>
    <xf numFmtId="187" fontId="2" fillId="2" borderId="4" xfId="1" applyNumberFormat="1" applyFont="1" applyFill="1" applyBorder="1" applyAlignment="1">
      <alignment vertical="center"/>
    </xf>
    <xf numFmtId="187" fontId="2" fillId="0" borderId="0" xfId="1" applyNumberFormat="1" applyFont="1" applyAlignment="1">
      <alignment horizontal="center"/>
    </xf>
    <xf numFmtId="187" fontId="2" fillId="0" borderId="0" xfId="1" applyNumberFormat="1" applyFont="1" applyBorder="1" applyAlignment="1"/>
    <xf numFmtId="41" fontId="2" fillId="0" borderId="0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187" fontId="9" fillId="2" borderId="1" xfId="1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shrinkToFit="1"/>
    </xf>
    <xf numFmtId="187" fontId="2" fillId="0" borderId="3" xfId="1" applyNumberFormat="1" applyFont="1" applyBorder="1"/>
    <xf numFmtId="187" fontId="2" fillId="2" borderId="1" xfId="1" applyNumberFormat="1" applyFont="1" applyFill="1" applyBorder="1" applyAlignment="1">
      <alignment shrinkToFit="1"/>
    </xf>
    <xf numFmtId="0" fontId="4" fillId="2" borderId="2" xfId="0" applyFont="1" applyFill="1" applyBorder="1" applyAlignment="1">
      <alignment horizontal="center" shrinkToFit="1"/>
    </xf>
    <xf numFmtId="187" fontId="2" fillId="0" borderId="1" xfId="1" applyNumberFormat="1" applyFont="1" applyBorder="1"/>
    <xf numFmtId="187" fontId="2" fillId="0" borderId="2" xfId="1" applyNumberFormat="1" applyFont="1" applyBorder="1"/>
    <xf numFmtId="0" fontId="2" fillId="2" borderId="1" xfId="0" applyFont="1" applyFill="1" applyBorder="1" applyAlignment="1">
      <alignment shrinkToFit="1"/>
    </xf>
    <xf numFmtId="0" fontId="4" fillId="2" borderId="1" xfId="0" applyFont="1" applyFill="1" applyBorder="1" applyAlignment="1">
      <alignment shrinkToFit="1"/>
    </xf>
    <xf numFmtId="0" fontId="7" fillId="2" borderId="1" xfId="0" applyFont="1" applyFill="1" applyBorder="1" applyAlignment="1">
      <alignment shrinkToFit="1"/>
    </xf>
    <xf numFmtId="0" fontId="8" fillId="2" borderId="1" xfId="0" applyFont="1" applyFill="1" applyBorder="1" applyAlignment="1">
      <alignment shrinkToFit="1"/>
    </xf>
    <xf numFmtId="0" fontId="9" fillId="2" borderId="1" xfId="0" applyFont="1" applyFill="1" applyBorder="1" applyAlignment="1">
      <alignment shrinkToFit="1"/>
    </xf>
    <xf numFmtId="0" fontId="2" fillId="2" borderId="2" xfId="0" applyFont="1" applyFill="1" applyBorder="1" applyAlignment="1">
      <alignment shrinkToFit="1"/>
    </xf>
    <xf numFmtId="0" fontId="10" fillId="2" borderId="1" xfId="0" applyFont="1" applyFill="1" applyBorder="1" applyAlignment="1">
      <alignment shrinkToFit="1"/>
    </xf>
    <xf numFmtId="0" fontId="8" fillId="2" borderId="4" xfId="0" applyFont="1" applyFill="1" applyBorder="1" applyAlignment="1">
      <alignment horizontal="left" vertical="center" shrinkToFit="1"/>
    </xf>
    <xf numFmtId="0" fontId="11" fillId="2" borderId="1" xfId="0" applyFont="1" applyFill="1" applyBorder="1" applyAlignment="1">
      <alignment shrinkToFit="1"/>
    </xf>
    <xf numFmtId="0" fontId="3" fillId="2" borderId="1" xfId="0" applyFont="1" applyFill="1" applyBorder="1" applyAlignment="1">
      <alignment shrinkToFit="1"/>
    </xf>
    <xf numFmtId="0" fontId="5" fillId="2" borderId="1" xfId="0" applyFont="1" applyFill="1" applyBorder="1" applyAlignment="1">
      <alignment shrinkToFit="1"/>
    </xf>
    <xf numFmtId="0" fontId="2" fillId="2" borderId="4" xfId="0" applyFont="1" applyFill="1" applyBorder="1" applyAlignment="1">
      <alignment shrinkToFit="1"/>
    </xf>
    <xf numFmtId="43" fontId="2" fillId="2" borderId="1" xfId="0" applyNumberFormat="1" applyFont="1" applyFill="1" applyBorder="1" applyAlignment="1">
      <alignment horizontal="center"/>
    </xf>
    <xf numFmtId="187" fontId="9" fillId="2" borderId="2" xfId="1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187" fontId="17" fillId="2" borderId="1" xfId="1" applyNumberFormat="1" applyFont="1" applyFill="1" applyBorder="1" applyAlignment="1">
      <alignment horizontal="center"/>
    </xf>
    <xf numFmtId="187" fontId="17" fillId="2" borderId="1" xfId="1" applyNumberFormat="1" applyFont="1" applyFill="1" applyBorder="1"/>
    <xf numFmtId="0" fontId="2" fillId="2" borderId="0" xfId="0" applyFont="1" applyFill="1" applyBorder="1" applyAlignment="1">
      <alignment shrinkToFit="1"/>
    </xf>
    <xf numFmtId="0" fontId="4" fillId="2" borderId="0" xfId="0" applyFont="1" applyFill="1" applyBorder="1" applyAlignment="1">
      <alignment horizontal="center"/>
    </xf>
    <xf numFmtId="187" fontId="17" fillId="2" borderId="0" xfId="1" applyNumberFormat="1" applyFont="1" applyFill="1" applyBorder="1" applyAlignment="1">
      <alignment horizontal="center"/>
    </xf>
    <xf numFmtId="187" fontId="17" fillId="2" borderId="0" xfId="1" applyNumberFormat="1" applyFont="1" applyFill="1" applyBorder="1"/>
    <xf numFmtId="1" fontId="9" fillId="2" borderId="1" xfId="1" applyNumberFormat="1" applyFont="1" applyFill="1" applyBorder="1"/>
    <xf numFmtId="187" fontId="18" fillId="2" borderId="1" xfId="0" applyNumberFormat="1" applyFont="1" applyFill="1" applyBorder="1" applyAlignment="1">
      <alignment horizontal="center"/>
    </xf>
    <xf numFmtId="187" fontId="16" fillId="2" borderId="1" xfId="0" applyNumberFormat="1" applyFont="1" applyFill="1" applyBorder="1" applyAlignment="1">
      <alignment horizontal="center"/>
    </xf>
    <xf numFmtId="187" fontId="18" fillId="2" borderId="1" xfId="1" applyNumberFormat="1" applyFont="1" applyFill="1" applyBorder="1" applyAlignment="1">
      <alignment horizontal="center"/>
    </xf>
    <xf numFmtId="187" fontId="4" fillId="2" borderId="1" xfId="1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87" fontId="9" fillId="2" borderId="1" xfId="1" applyNumberFormat="1" applyFont="1" applyFill="1" applyBorder="1"/>
    <xf numFmtId="41" fontId="5" fillId="2" borderId="1" xfId="0" applyNumberFormat="1" applyFont="1" applyFill="1" applyBorder="1" applyAlignment="1">
      <alignment horizontal="center"/>
    </xf>
    <xf numFmtId="43" fontId="5" fillId="2" borderId="1" xfId="0" applyNumberFormat="1" applyFont="1" applyFill="1" applyBorder="1" applyAlignment="1">
      <alignment horizontal="center"/>
    </xf>
    <xf numFmtId="43" fontId="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/>
    </xf>
    <xf numFmtId="41" fontId="2" fillId="2" borderId="8" xfId="0" applyNumberFormat="1" applyFont="1" applyFill="1" applyBorder="1" applyAlignment="1">
      <alignment horizontal="center" vertical="center"/>
    </xf>
    <xf numFmtId="41" fontId="2" fillId="2" borderId="9" xfId="0" applyNumberFormat="1" applyFont="1" applyFill="1" applyBorder="1" applyAlignment="1">
      <alignment horizontal="center" vertical="center"/>
    </xf>
    <xf numFmtId="41" fontId="2" fillId="2" borderId="10" xfId="0" applyNumberFormat="1" applyFont="1" applyFill="1" applyBorder="1" applyAlignment="1">
      <alignment horizontal="center" vertical="center"/>
    </xf>
    <xf numFmtId="41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1" fontId="2" fillId="2" borderId="5" xfId="0" applyNumberFormat="1" applyFont="1" applyFill="1" applyBorder="1" applyAlignment="1">
      <alignment horizontal="center" vertical="center"/>
    </xf>
    <xf numFmtId="41" fontId="2" fillId="2" borderId="6" xfId="0" applyNumberFormat="1" applyFont="1" applyFill="1" applyBorder="1" applyAlignment="1">
      <alignment horizontal="center" vertical="center"/>
    </xf>
    <xf numFmtId="41" fontId="2" fillId="2" borderId="7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tabSelected="1" topLeftCell="A72" zoomScale="124" zoomScaleNormal="124" workbookViewId="0">
      <selection activeCell="A91" sqref="A91:S91"/>
    </sheetView>
  </sheetViews>
  <sheetFormatPr defaultRowHeight="15.75" x14ac:dyDescent="0.25"/>
  <cols>
    <col min="1" max="1" width="2.625" style="21" customWidth="1"/>
    <col min="2" max="2" width="19.625" style="6" customWidth="1"/>
    <col min="3" max="3" width="4.875" style="21" customWidth="1"/>
    <col min="4" max="4" width="4.25" style="21" customWidth="1"/>
    <col min="5" max="5" width="4.375" style="52" customWidth="1"/>
    <col min="6" max="7" width="7.375" style="37" customWidth="1"/>
    <col min="8" max="8" width="5.625" style="21" customWidth="1"/>
    <col min="9" max="10" width="5.625" style="6" customWidth="1"/>
    <col min="11" max="13" width="4.375" style="59" customWidth="1"/>
    <col min="14" max="14" width="7.375" style="6" customWidth="1"/>
    <col min="15" max="16" width="7.125" style="6" customWidth="1"/>
    <col min="17" max="19" width="8.375" style="6" customWidth="1"/>
    <col min="20" max="20" width="6.5" style="64" customWidth="1"/>
    <col min="21" max="16384" width="9" style="6"/>
  </cols>
  <sheetData>
    <row r="1" spans="1:20" ht="23.25" x14ac:dyDescent="0.3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38"/>
      <c r="K1" s="53"/>
      <c r="L1" s="53"/>
      <c r="M1" s="53"/>
      <c r="N1" s="39"/>
      <c r="O1" s="39"/>
      <c r="P1" s="39"/>
      <c r="Q1" s="39"/>
      <c r="R1" s="39"/>
      <c r="S1" s="39"/>
      <c r="T1" s="60"/>
    </row>
    <row r="2" spans="1:20" s="2" customFormat="1" x14ac:dyDescent="0.25">
      <c r="A2" s="125" t="s">
        <v>1</v>
      </c>
      <c r="B2" s="125" t="s">
        <v>2</v>
      </c>
      <c r="C2" s="67" t="s">
        <v>3</v>
      </c>
      <c r="D2" s="67" t="s">
        <v>5</v>
      </c>
      <c r="E2" s="128" t="s">
        <v>7</v>
      </c>
      <c r="F2" s="129"/>
      <c r="G2" s="130"/>
      <c r="H2" s="131" t="s">
        <v>8</v>
      </c>
      <c r="I2" s="131"/>
      <c r="J2" s="131"/>
      <c r="K2" s="132" t="s">
        <v>58</v>
      </c>
      <c r="L2" s="133"/>
      <c r="M2" s="134"/>
      <c r="N2" s="135" t="s">
        <v>59</v>
      </c>
      <c r="O2" s="136"/>
      <c r="P2" s="137"/>
      <c r="Q2" s="135" t="s">
        <v>60</v>
      </c>
      <c r="R2" s="136"/>
      <c r="S2" s="137"/>
      <c r="T2" s="61" t="s">
        <v>27</v>
      </c>
    </row>
    <row r="3" spans="1:20" s="2" customFormat="1" x14ac:dyDescent="0.25">
      <c r="A3" s="126"/>
      <c r="B3" s="126"/>
      <c r="C3" s="68" t="s">
        <v>4</v>
      </c>
      <c r="D3" s="68" t="s">
        <v>6</v>
      </c>
      <c r="E3" s="40" t="s">
        <v>9</v>
      </c>
      <c r="F3" s="23" t="s">
        <v>11</v>
      </c>
      <c r="G3" s="23" t="s">
        <v>55</v>
      </c>
      <c r="H3" s="119" t="s">
        <v>40</v>
      </c>
      <c r="I3" s="119"/>
      <c r="J3" s="119"/>
      <c r="K3" s="120" t="s">
        <v>57</v>
      </c>
      <c r="L3" s="121"/>
      <c r="M3" s="122"/>
      <c r="N3" s="138"/>
      <c r="O3" s="139"/>
      <c r="P3" s="140"/>
      <c r="Q3" s="138"/>
      <c r="R3" s="139"/>
      <c r="S3" s="140"/>
      <c r="T3" s="62" t="s">
        <v>26</v>
      </c>
    </row>
    <row r="4" spans="1:20" s="2" customFormat="1" x14ac:dyDescent="0.25">
      <c r="A4" s="127"/>
      <c r="B4" s="127"/>
      <c r="C4" s="69"/>
      <c r="D4" s="69"/>
      <c r="E4" s="41" t="s">
        <v>10</v>
      </c>
      <c r="F4" s="24" t="s">
        <v>12</v>
      </c>
      <c r="G4" s="24" t="s">
        <v>56</v>
      </c>
      <c r="H4" s="70">
        <v>2564</v>
      </c>
      <c r="I4" s="70">
        <v>2565</v>
      </c>
      <c r="J4" s="70">
        <v>2566</v>
      </c>
      <c r="K4" s="75">
        <v>2564</v>
      </c>
      <c r="L4" s="75">
        <v>2565</v>
      </c>
      <c r="M4" s="75">
        <v>2566</v>
      </c>
      <c r="N4" s="75">
        <v>2564</v>
      </c>
      <c r="O4" s="75">
        <v>2565</v>
      </c>
      <c r="P4" s="75">
        <v>2566</v>
      </c>
      <c r="Q4" s="75">
        <v>2564</v>
      </c>
      <c r="R4" s="75">
        <v>2565</v>
      </c>
      <c r="S4" s="75">
        <v>2566</v>
      </c>
      <c r="T4" s="63"/>
    </row>
    <row r="5" spans="1:20" s="2" customFormat="1" x14ac:dyDescent="0.25">
      <c r="A5" s="70">
        <v>1</v>
      </c>
      <c r="B5" s="87" t="s">
        <v>49</v>
      </c>
      <c r="C5" s="7" t="s">
        <v>33</v>
      </c>
      <c r="D5" s="70">
        <v>1</v>
      </c>
      <c r="E5" s="42">
        <v>1</v>
      </c>
      <c r="F5" s="25">
        <f>40560*12</f>
        <v>486720</v>
      </c>
      <c r="G5" s="82">
        <f>(7000*12)+(7000*12)</f>
        <v>168000</v>
      </c>
      <c r="H5" s="70">
        <v>1</v>
      </c>
      <c r="I5" s="70">
        <v>1</v>
      </c>
      <c r="J5" s="70">
        <v>1</v>
      </c>
      <c r="K5" s="42">
        <v>0</v>
      </c>
      <c r="L5" s="42">
        <v>0</v>
      </c>
      <c r="M5" s="42">
        <v>0</v>
      </c>
      <c r="N5" s="26">
        <f>(41930-40560)*12</f>
        <v>16440</v>
      </c>
      <c r="O5" s="26">
        <f>(43300-41930)*12</f>
        <v>16440</v>
      </c>
      <c r="P5" s="26">
        <f>(44930-43300)*12</f>
        <v>19560</v>
      </c>
      <c r="Q5" s="26">
        <f>F5+G5+N5</f>
        <v>671160</v>
      </c>
      <c r="R5" s="26">
        <f>F5+G5+N5+O5</f>
        <v>687600</v>
      </c>
      <c r="S5" s="26">
        <f>F5+G5+N5+O5+P5</f>
        <v>707160</v>
      </c>
      <c r="T5" s="25">
        <v>40560</v>
      </c>
    </row>
    <row r="6" spans="1:20" s="2" customFormat="1" x14ac:dyDescent="0.25">
      <c r="A6" s="70">
        <v>2</v>
      </c>
      <c r="B6" s="88" t="s">
        <v>50</v>
      </c>
      <c r="C6" s="7" t="s">
        <v>34</v>
      </c>
      <c r="D6" s="70">
        <v>1</v>
      </c>
      <c r="E6" s="42">
        <v>1</v>
      </c>
      <c r="F6" s="25">
        <f>44280*12</f>
        <v>531360</v>
      </c>
      <c r="G6" s="25">
        <f>3500*12</f>
        <v>42000</v>
      </c>
      <c r="H6" s="70">
        <v>1</v>
      </c>
      <c r="I6" s="70">
        <v>1</v>
      </c>
      <c r="J6" s="70">
        <v>1</v>
      </c>
      <c r="K6" s="42">
        <v>0</v>
      </c>
      <c r="L6" s="42">
        <v>0</v>
      </c>
      <c r="M6" s="42">
        <v>0</v>
      </c>
      <c r="N6" s="26">
        <f>(45740-44280)*12</f>
        <v>17520</v>
      </c>
      <c r="O6" s="26">
        <f>(47240-45740)*12</f>
        <v>18000</v>
      </c>
      <c r="P6" s="26">
        <f>(48740-47240)*12</f>
        <v>18000</v>
      </c>
      <c r="Q6" s="26">
        <f>F6+G6+N6</f>
        <v>590880</v>
      </c>
      <c r="R6" s="26">
        <f>F6+G6+N6+O6</f>
        <v>608880</v>
      </c>
      <c r="S6" s="26">
        <f>F6+G6+N6+O6+P6</f>
        <v>626880</v>
      </c>
      <c r="T6" s="25">
        <v>44280</v>
      </c>
    </row>
    <row r="7" spans="1:20" s="2" customFormat="1" x14ac:dyDescent="0.25">
      <c r="A7" s="70"/>
      <c r="B7" s="89" t="s">
        <v>94</v>
      </c>
      <c r="C7" s="7"/>
      <c r="D7" s="70"/>
      <c r="E7" s="42"/>
      <c r="F7" s="25"/>
      <c r="G7" s="25"/>
      <c r="H7" s="70"/>
      <c r="I7" s="70"/>
      <c r="J7" s="70"/>
      <c r="K7" s="42"/>
      <c r="L7" s="42"/>
      <c r="M7" s="42"/>
      <c r="N7" s="26"/>
      <c r="O7" s="26"/>
      <c r="P7" s="26"/>
      <c r="Q7" s="26"/>
      <c r="R7" s="26"/>
      <c r="S7" s="26"/>
      <c r="T7" s="25"/>
    </row>
    <row r="8" spans="1:20" s="2" customFormat="1" x14ac:dyDescent="0.25">
      <c r="A8" s="70">
        <v>3</v>
      </c>
      <c r="B8" s="90" t="s">
        <v>95</v>
      </c>
      <c r="C8" s="7" t="s">
        <v>34</v>
      </c>
      <c r="D8" s="70">
        <v>1</v>
      </c>
      <c r="E8" s="42">
        <v>1</v>
      </c>
      <c r="F8" s="25">
        <f>30220*12</f>
        <v>362640</v>
      </c>
      <c r="G8" s="25">
        <f>3500*12</f>
        <v>42000</v>
      </c>
      <c r="H8" s="70">
        <v>1</v>
      </c>
      <c r="I8" s="70">
        <v>1</v>
      </c>
      <c r="J8" s="70">
        <v>1</v>
      </c>
      <c r="K8" s="42">
        <v>0</v>
      </c>
      <c r="L8" s="42">
        <v>0</v>
      </c>
      <c r="M8" s="42">
        <v>0</v>
      </c>
      <c r="N8" s="26">
        <f>(31340-30220)*12</f>
        <v>13440</v>
      </c>
      <c r="O8" s="26">
        <f>(32450-31340)*12</f>
        <v>13320</v>
      </c>
      <c r="P8" s="26">
        <f>(33560-32450)*12</f>
        <v>13320</v>
      </c>
      <c r="Q8" s="26">
        <f>F8+G8+N8</f>
        <v>418080</v>
      </c>
      <c r="R8" s="26">
        <f t="shared" ref="R8:R14" si="0">F8+G8+N8+O8</f>
        <v>431400</v>
      </c>
      <c r="S8" s="26">
        <f t="shared" ref="S8:S14" si="1">F8+G8+N8+O8+P8</f>
        <v>444720</v>
      </c>
      <c r="T8" s="25">
        <v>30220</v>
      </c>
    </row>
    <row r="9" spans="1:20" s="2" customFormat="1" x14ac:dyDescent="0.25">
      <c r="A9" s="70">
        <v>4</v>
      </c>
      <c r="B9" s="86" t="s">
        <v>36</v>
      </c>
      <c r="C9" s="7" t="s">
        <v>74</v>
      </c>
      <c r="D9" s="70">
        <v>1</v>
      </c>
      <c r="E9" s="42">
        <v>1</v>
      </c>
      <c r="F9" s="25">
        <f>26460*12</f>
        <v>317520</v>
      </c>
      <c r="G9" s="26">
        <v>0</v>
      </c>
      <c r="H9" s="70">
        <v>1</v>
      </c>
      <c r="I9" s="70">
        <v>1</v>
      </c>
      <c r="J9" s="70">
        <v>1</v>
      </c>
      <c r="K9" s="42">
        <v>0</v>
      </c>
      <c r="L9" s="42">
        <v>0</v>
      </c>
      <c r="M9" s="42">
        <v>0</v>
      </c>
      <c r="N9" s="26">
        <f>(27480-26460)*12</f>
        <v>12240</v>
      </c>
      <c r="O9" s="26">
        <f>(28560-27480)*12</f>
        <v>12960</v>
      </c>
      <c r="P9" s="26">
        <f>(29680-28560)*12</f>
        <v>13440</v>
      </c>
      <c r="Q9" s="26">
        <f>F9+G9+N9</f>
        <v>329760</v>
      </c>
      <c r="R9" s="26">
        <f t="shared" si="0"/>
        <v>342720</v>
      </c>
      <c r="S9" s="26">
        <f t="shared" si="1"/>
        <v>356160</v>
      </c>
      <c r="T9" s="25">
        <v>26460</v>
      </c>
    </row>
    <row r="10" spans="1:20" s="2" customFormat="1" x14ac:dyDescent="0.25">
      <c r="A10" s="75">
        <v>5</v>
      </c>
      <c r="B10" s="86" t="s">
        <v>45</v>
      </c>
      <c r="C10" s="80" t="s">
        <v>75</v>
      </c>
      <c r="D10" s="75">
        <v>1</v>
      </c>
      <c r="E10" s="42">
        <v>1</v>
      </c>
      <c r="F10" s="81">
        <f>(9740+49480)/2*12</f>
        <v>355320</v>
      </c>
      <c r="G10" s="81">
        <v>0</v>
      </c>
      <c r="H10" s="75">
        <v>1</v>
      </c>
      <c r="I10" s="75">
        <v>1</v>
      </c>
      <c r="J10" s="75">
        <v>1</v>
      </c>
      <c r="K10" s="42">
        <v>0</v>
      </c>
      <c r="L10" s="42">
        <v>0</v>
      </c>
      <c r="M10" s="42">
        <v>0</v>
      </c>
      <c r="N10" s="26">
        <f t="shared" ref="N10:P11" si="2">((10250-9740)+(49480-47990))/2*12</f>
        <v>12000</v>
      </c>
      <c r="O10" s="26">
        <f t="shared" si="2"/>
        <v>12000</v>
      </c>
      <c r="P10" s="26">
        <f t="shared" si="2"/>
        <v>12000</v>
      </c>
      <c r="Q10" s="26">
        <f>F10+G10+N10</f>
        <v>367320</v>
      </c>
      <c r="R10" s="26">
        <f t="shared" ref="R10" si="3">F10+G10+N10+O10</f>
        <v>379320</v>
      </c>
      <c r="S10" s="26">
        <f t="shared" ref="S10" si="4">F10+G10+N10+O10+P10</f>
        <v>391320</v>
      </c>
      <c r="T10" s="25" t="s">
        <v>89</v>
      </c>
    </row>
    <row r="11" spans="1:20" s="2" customFormat="1" x14ac:dyDescent="0.25">
      <c r="A11" s="75">
        <v>6</v>
      </c>
      <c r="B11" s="91" t="s">
        <v>80</v>
      </c>
      <c r="C11" s="83" t="s">
        <v>75</v>
      </c>
      <c r="D11" s="79">
        <v>1</v>
      </c>
      <c r="E11" s="45">
        <v>0</v>
      </c>
      <c r="F11" s="84">
        <v>0</v>
      </c>
      <c r="G11" s="84">
        <v>0</v>
      </c>
      <c r="H11" s="79">
        <v>1</v>
      </c>
      <c r="I11" s="79">
        <v>1</v>
      </c>
      <c r="J11" s="79">
        <v>1</v>
      </c>
      <c r="K11" s="10" t="s">
        <v>83</v>
      </c>
      <c r="L11" s="45">
        <v>0</v>
      </c>
      <c r="M11" s="45">
        <v>0</v>
      </c>
      <c r="N11" s="81">
        <f>(9740+49480)/2*12</f>
        <v>355320</v>
      </c>
      <c r="O11" s="26">
        <f t="shared" si="2"/>
        <v>12000</v>
      </c>
      <c r="P11" s="26">
        <f t="shared" si="2"/>
        <v>12000</v>
      </c>
      <c r="Q11" s="81">
        <f>(9740+49480)/2*12</f>
        <v>355320</v>
      </c>
      <c r="R11" s="26">
        <f t="shared" si="0"/>
        <v>367320</v>
      </c>
      <c r="S11" s="26">
        <f t="shared" si="1"/>
        <v>379320</v>
      </c>
      <c r="T11" s="99" t="s">
        <v>62</v>
      </c>
    </row>
    <row r="12" spans="1:20" s="2" customFormat="1" x14ac:dyDescent="0.25">
      <c r="A12" s="75">
        <v>7</v>
      </c>
      <c r="B12" s="91" t="s">
        <v>13</v>
      </c>
      <c r="C12" s="83" t="s">
        <v>76</v>
      </c>
      <c r="D12" s="76">
        <v>1</v>
      </c>
      <c r="E12" s="45">
        <v>1</v>
      </c>
      <c r="F12" s="25">
        <f>19970*12</f>
        <v>239640</v>
      </c>
      <c r="G12" s="85">
        <v>0</v>
      </c>
      <c r="H12" s="76">
        <v>1</v>
      </c>
      <c r="I12" s="76">
        <v>1</v>
      </c>
      <c r="J12" s="76">
        <v>1</v>
      </c>
      <c r="K12" s="45">
        <v>0</v>
      </c>
      <c r="L12" s="45">
        <v>0</v>
      </c>
      <c r="M12" s="45">
        <v>0</v>
      </c>
      <c r="N12" s="26">
        <f>(20780-19970)*12</f>
        <v>9720</v>
      </c>
      <c r="O12" s="26">
        <f>(21620-20780)*12</f>
        <v>10080</v>
      </c>
      <c r="P12" s="26">
        <f>(22490-21620)*12</f>
        <v>10440</v>
      </c>
      <c r="Q12" s="26">
        <f>F12+G12+N12</f>
        <v>249360</v>
      </c>
      <c r="R12" s="26">
        <f t="shared" si="0"/>
        <v>259440</v>
      </c>
      <c r="S12" s="26">
        <f t="shared" si="1"/>
        <v>269880</v>
      </c>
      <c r="T12" s="25">
        <v>19970</v>
      </c>
    </row>
    <row r="13" spans="1:20" s="2" customFormat="1" x14ac:dyDescent="0.25">
      <c r="A13" s="75">
        <v>8</v>
      </c>
      <c r="B13" s="86" t="s">
        <v>13</v>
      </c>
      <c r="C13" s="80" t="s">
        <v>76</v>
      </c>
      <c r="D13" s="113">
        <v>1</v>
      </c>
      <c r="E13" s="45">
        <v>1</v>
      </c>
      <c r="F13" s="25">
        <f>18440*12</f>
        <v>221280</v>
      </c>
      <c r="G13" s="84">
        <v>0</v>
      </c>
      <c r="H13" s="113">
        <v>1</v>
      </c>
      <c r="I13" s="113">
        <v>1</v>
      </c>
      <c r="J13" s="113">
        <v>1</v>
      </c>
      <c r="K13" s="45">
        <v>0</v>
      </c>
      <c r="L13" s="45">
        <v>0</v>
      </c>
      <c r="M13" s="45">
        <v>0</v>
      </c>
      <c r="N13" s="26">
        <f>(41930-40560)*12</f>
        <v>16440</v>
      </c>
      <c r="O13" s="26">
        <f>(43300-41930)*12</f>
        <v>16440</v>
      </c>
      <c r="P13" s="26">
        <f>(44930-43300)*12</f>
        <v>19560</v>
      </c>
      <c r="Q13" s="26">
        <f>F13+G13+N13</f>
        <v>237720</v>
      </c>
      <c r="R13" s="26">
        <f t="shared" si="0"/>
        <v>254160</v>
      </c>
      <c r="S13" s="26">
        <f t="shared" si="1"/>
        <v>273720</v>
      </c>
      <c r="T13" s="25">
        <v>18440</v>
      </c>
    </row>
    <row r="14" spans="1:20" s="2" customFormat="1" x14ac:dyDescent="0.25">
      <c r="A14" s="75">
        <v>9</v>
      </c>
      <c r="B14" s="86" t="s">
        <v>61</v>
      </c>
      <c r="C14" s="7" t="s">
        <v>77</v>
      </c>
      <c r="D14" s="70">
        <v>1</v>
      </c>
      <c r="E14" s="42">
        <v>0</v>
      </c>
      <c r="F14" s="25">
        <v>0</v>
      </c>
      <c r="G14" s="26">
        <v>0</v>
      </c>
      <c r="H14" s="98">
        <v>0</v>
      </c>
      <c r="I14" s="98">
        <v>0</v>
      </c>
      <c r="J14" s="98">
        <v>0</v>
      </c>
      <c r="K14" s="1" t="s">
        <v>84</v>
      </c>
      <c r="L14" s="42">
        <v>0</v>
      </c>
      <c r="M14" s="42">
        <v>0</v>
      </c>
      <c r="N14" s="26">
        <v>0</v>
      </c>
      <c r="O14" s="26">
        <v>0</v>
      </c>
      <c r="P14" s="26">
        <v>0</v>
      </c>
      <c r="Q14" s="26">
        <f>F14+G14+N14</f>
        <v>0</v>
      </c>
      <c r="R14" s="26">
        <f t="shared" si="0"/>
        <v>0</v>
      </c>
      <c r="S14" s="26">
        <f t="shared" si="1"/>
        <v>0</v>
      </c>
      <c r="T14" s="112" t="s">
        <v>93</v>
      </c>
    </row>
    <row r="15" spans="1:20" s="2" customFormat="1" x14ac:dyDescent="0.25">
      <c r="A15" s="70"/>
      <c r="B15" s="89" t="s">
        <v>23</v>
      </c>
      <c r="C15" s="8"/>
      <c r="D15" s="70"/>
      <c r="E15" s="42"/>
      <c r="F15" s="25"/>
      <c r="G15" s="25"/>
      <c r="H15" s="70"/>
      <c r="I15" s="70"/>
      <c r="J15" s="70"/>
      <c r="K15" s="42"/>
      <c r="L15" s="42"/>
      <c r="M15" s="42"/>
      <c r="N15" s="26"/>
      <c r="O15" s="26"/>
      <c r="P15" s="26"/>
      <c r="Q15" s="26"/>
      <c r="R15" s="26"/>
      <c r="S15" s="26"/>
      <c r="T15" s="26"/>
    </row>
    <row r="16" spans="1:20" s="2" customFormat="1" x14ac:dyDescent="0.25">
      <c r="A16" s="70">
        <v>10</v>
      </c>
      <c r="B16" s="86" t="s">
        <v>63</v>
      </c>
      <c r="C16" s="8"/>
      <c r="D16" s="70">
        <v>1</v>
      </c>
      <c r="E16" s="42">
        <v>1</v>
      </c>
      <c r="F16" s="25">
        <f>11500*12</f>
        <v>138000</v>
      </c>
      <c r="G16" s="25">
        <v>0</v>
      </c>
      <c r="H16" s="75">
        <v>1</v>
      </c>
      <c r="I16" s="75">
        <v>1</v>
      </c>
      <c r="J16" s="75">
        <v>1</v>
      </c>
      <c r="K16" s="42">
        <v>0</v>
      </c>
      <c r="L16" s="42">
        <v>0</v>
      </c>
      <c r="M16" s="42">
        <v>0</v>
      </c>
      <c r="N16" s="26">
        <v>5520</v>
      </c>
      <c r="O16" s="26">
        <v>5760</v>
      </c>
      <c r="P16" s="26">
        <v>6000</v>
      </c>
      <c r="Q16" s="26">
        <f>F16+G16+N16</f>
        <v>143520</v>
      </c>
      <c r="R16" s="26">
        <f>F16+G16+N16+O16</f>
        <v>149280</v>
      </c>
      <c r="S16" s="26">
        <f>F16+G16+N16+O16+P16</f>
        <v>155280</v>
      </c>
      <c r="T16" s="25">
        <v>11500</v>
      </c>
    </row>
    <row r="17" spans="1:20" s="2" customFormat="1" x14ac:dyDescent="0.25">
      <c r="A17" s="70">
        <v>11</v>
      </c>
      <c r="B17" s="90" t="s">
        <v>81</v>
      </c>
      <c r="C17" s="8"/>
      <c r="D17" s="70">
        <v>1</v>
      </c>
      <c r="E17" s="42">
        <v>1</v>
      </c>
      <c r="F17" s="25">
        <f>11970*12</f>
        <v>143640</v>
      </c>
      <c r="G17" s="25">
        <v>0</v>
      </c>
      <c r="H17" s="70">
        <v>1</v>
      </c>
      <c r="I17" s="70">
        <v>1</v>
      </c>
      <c r="J17" s="70">
        <v>1</v>
      </c>
      <c r="K17" s="42">
        <v>0</v>
      </c>
      <c r="L17" s="42">
        <v>0</v>
      </c>
      <c r="M17" s="42">
        <v>0</v>
      </c>
      <c r="N17" s="26">
        <v>5760</v>
      </c>
      <c r="O17" s="26">
        <v>6000</v>
      </c>
      <c r="P17" s="26">
        <v>6240</v>
      </c>
      <c r="Q17" s="26">
        <f>F17+G17+N17</f>
        <v>149400</v>
      </c>
      <c r="R17" s="26">
        <f>F17+G17+N17+O17</f>
        <v>155400</v>
      </c>
      <c r="S17" s="26">
        <f>F17+G17+N17+O17+P17</f>
        <v>161640</v>
      </c>
      <c r="T17" s="25">
        <v>11970</v>
      </c>
    </row>
    <row r="18" spans="1:20" s="2" customFormat="1" x14ac:dyDescent="0.25">
      <c r="A18" s="70"/>
      <c r="B18" s="89" t="s">
        <v>24</v>
      </c>
      <c r="C18" s="8"/>
      <c r="D18" s="70"/>
      <c r="E18" s="42"/>
      <c r="F18" s="25"/>
      <c r="G18" s="25"/>
      <c r="H18" s="70"/>
      <c r="I18" s="70"/>
      <c r="J18" s="70"/>
      <c r="K18" s="42"/>
      <c r="L18" s="42"/>
      <c r="M18" s="42"/>
      <c r="N18" s="26"/>
      <c r="O18" s="26"/>
      <c r="P18" s="26"/>
      <c r="Q18" s="26"/>
      <c r="R18" s="26"/>
      <c r="S18" s="26"/>
      <c r="T18" s="26"/>
    </row>
    <row r="19" spans="1:20" s="2" customFormat="1" x14ac:dyDescent="0.25">
      <c r="A19" s="70">
        <v>12</v>
      </c>
      <c r="B19" s="86" t="s">
        <v>97</v>
      </c>
      <c r="C19" s="8"/>
      <c r="D19" s="70">
        <v>1</v>
      </c>
      <c r="E19" s="42">
        <v>1</v>
      </c>
      <c r="F19" s="25">
        <f>9000*12</f>
        <v>108000</v>
      </c>
      <c r="G19" s="25">
        <v>0</v>
      </c>
      <c r="H19" s="70">
        <v>1</v>
      </c>
      <c r="I19" s="70">
        <v>1</v>
      </c>
      <c r="J19" s="70">
        <v>1</v>
      </c>
      <c r="K19" s="42">
        <v>0</v>
      </c>
      <c r="L19" s="42">
        <v>0</v>
      </c>
      <c r="M19" s="42">
        <v>0</v>
      </c>
      <c r="N19" s="26">
        <v>0</v>
      </c>
      <c r="O19" s="26">
        <v>0</v>
      </c>
      <c r="P19" s="26">
        <v>0</v>
      </c>
      <c r="Q19" s="26">
        <f t="shared" ref="Q19:Q22" si="5">F19+N19</f>
        <v>108000</v>
      </c>
      <c r="R19" s="26">
        <f t="shared" ref="R19:R22" si="6">F19+N19+O19</f>
        <v>108000</v>
      </c>
      <c r="S19" s="26">
        <f t="shared" ref="S19:S22" si="7">F19+N19+O19+P19</f>
        <v>108000</v>
      </c>
      <c r="T19" s="26">
        <v>9000</v>
      </c>
    </row>
    <row r="20" spans="1:20" s="2" customFormat="1" x14ac:dyDescent="0.25">
      <c r="A20" s="70">
        <v>13</v>
      </c>
      <c r="B20" s="86" t="s">
        <v>88</v>
      </c>
      <c r="C20" s="8"/>
      <c r="D20" s="70">
        <v>1</v>
      </c>
      <c r="E20" s="42">
        <v>1</v>
      </c>
      <c r="F20" s="25">
        <f t="shared" ref="F20:F22" si="8">9000*12</f>
        <v>108000</v>
      </c>
      <c r="G20" s="25">
        <v>0</v>
      </c>
      <c r="H20" s="70">
        <v>1</v>
      </c>
      <c r="I20" s="70">
        <v>1</v>
      </c>
      <c r="J20" s="70">
        <v>1</v>
      </c>
      <c r="K20" s="42">
        <v>0</v>
      </c>
      <c r="L20" s="42">
        <v>0</v>
      </c>
      <c r="M20" s="42">
        <v>0</v>
      </c>
      <c r="N20" s="26">
        <v>0</v>
      </c>
      <c r="O20" s="26">
        <v>0</v>
      </c>
      <c r="P20" s="26">
        <v>0</v>
      </c>
      <c r="Q20" s="26">
        <f t="shared" si="5"/>
        <v>108000</v>
      </c>
      <c r="R20" s="26">
        <f t="shared" si="6"/>
        <v>108000</v>
      </c>
      <c r="S20" s="26">
        <f t="shared" si="7"/>
        <v>108000</v>
      </c>
      <c r="T20" s="26">
        <v>9000</v>
      </c>
    </row>
    <row r="21" spans="1:20" s="2" customFormat="1" x14ac:dyDescent="0.25">
      <c r="A21" s="75">
        <v>14</v>
      </c>
      <c r="B21" s="86" t="s">
        <v>64</v>
      </c>
      <c r="C21" s="8"/>
      <c r="D21" s="75">
        <v>1</v>
      </c>
      <c r="E21" s="42">
        <v>1</v>
      </c>
      <c r="F21" s="25">
        <f t="shared" si="8"/>
        <v>108000</v>
      </c>
      <c r="G21" s="25">
        <v>0</v>
      </c>
      <c r="H21" s="75">
        <v>1</v>
      </c>
      <c r="I21" s="75">
        <v>1</v>
      </c>
      <c r="J21" s="75">
        <v>1</v>
      </c>
      <c r="K21" s="42">
        <v>0</v>
      </c>
      <c r="L21" s="42">
        <v>0</v>
      </c>
      <c r="M21" s="42">
        <v>0</v>
      </c>
      <c r="N21" s="26">
        <v>0</v>
      </c>
      <c r="O21" s="26">
        <v>0</v>
      </c>
      <c r="P21" s="26">
        <v>0</v>
      </c>
      <c r="Q21" s="26">
        <f t="shared" ref="Q21" si="9">F21+N21</f>
        <v>108000</v>
      </c>
      <c r="R21" s="26">
        <f t="shared" ref="R21" si="10">F21+N21+O21</f>
        <v>108000</v>
      </c>
      <c r="S21" s="26">
        <f t="shared" ref="S21" si="11">F21+N21+O21+P21</f>
        <v>108000</v>
      </c>
      <c r="T21" s="26">
        <v>9000</v>
      </c>
    </row>
    <row r="22" spans="1:20" s="2" customFormat="1" x14ac:dyDescent="0.25">
      <c r="A22" s="70">
        <v>15</v>
      </c>
      <c r="B22" s="86" t="s">
        <v>96</v>
      </c>
      <c r="C22" s="8"/>
      <c r="D22" s="70">
        <v>1</v>
      </c>
      <c r="E22" s="42">
        <v>1</v>
      </c>
      <c r="F22" s="25">
        <f t="shared" si="8"/>
        <v>108000</v>
      </c>
      <c r="G22" s="25">
        <v>0</v>
      </c>
      <c r="H22" s="70">
        <v>1</v>
      </c>
      <c r="I22" s="70">
        <v>1</v>
      </c>
      <c r="J22" s="70">
        <v>1</v>
      </c>
      <c r="K22" s="42">
        <v>0</v>
      </c>
      <c r="L22" s="42">
        <v>0</v>
      </c>
      <c r="M22" s="42">
        <v>0</v>
      </c>
      <c r="N22" s="26">
        <v>0</v>
      </c>
      <c r="O22" s="26">
        <v>0</v>
      </c>
      <c r="P22" s="26">
        <v>0</v>
      </c>
      <c r="Q22" s="26">
        <f t="shared" si="5"/>
        <v>108000</v>
      </c>
      <c r="R22" s="26">
        <f t="shared" si="6"/>
        <v>108000</v>
      </c>
      <c r="S22" s="26">
        <f t="shared" si="7"/>
        <v>108000</v>
      </c>
      <c r="T22" s="26">
        <v>9000</v>
      </c>
    </row>
    <row r="23" spans="1:20" s="2" customFormat="1" x14ac:dyDescent="0.25">
      <c r="A23" s="70"/>
      <c r="B23" s="89" t="s">
        <v>30</v>
      </c>
      <c r="C23" s="7"/>
      <c r="D23" s="70"/>
      <c r="E23" s="42"/>
      <c r="F23" s="25"/>
      <c r="G23" s="25"/>
      <c r="H23" s="70"/>
      <c r="I23" s="70"/>
      <c r="J23" s="70"/>
      <c r="K23" s="42"/>
      <c r="L23" s="42"/>
      <c r="M23" s="42"/>
      <c r="N23" s="26"/>
      <c r="O23" s="26"/>
      <c r="P23" s="26"/>
      <c r="Q23" s="26"/>
      <c r="R23" s="26"/>
      <c r="S23" s="26"/>
      <c r="T23" s="26"/>
    </row>
    <row r="24" spans="1:20" s="2" customFormat="1" x14ac:dyDescent="0.25">
      <c r="A24" s="70">
        <v>16</v>
      </c>
      <c r="B24" s="88" t="s">
        <v>37</v>
      </c>
      <c r="C24" s="7" t="s">
        <v>34</v>
      </c>
      <c r="D24" s="70">
        <v>1</v>
      </c>
      <c r="E24" s="42">
        <v>1</v>
      </c>
      <c r="F24" s="25">
        <f>36310*12</f>
        <v>435720</v>
      </c>
      <c r="G24" s="25">
        <f>3500*12</f>
        <v>42000</v>
      </c>
      <c r="H24" s="70">
        <v>1</v>
      </c>
      <c r="I24" s="70">
        <v>1</v>
      </c>
      <c r="J24" s="70">
        <v>1</v>
      </c>
      <c r="K24" s="42">
        <v>0</v>
      </c>
      <c r="L24" s="42">
        <v>0</v>
      </c>
      <c r="M24" s="42">
        <v>0</v>
      </c>
      <c r="N24" s="26">
        <f>(37410-36310)*12</f>
        <v>13200</v>
      </c>
      <c r="O24" s="26">
        <f>(38520-37410)*12</f>
        <v>13320</v>
      </c>
      <c r="P24" s="26">
        <f>(39630-38520)*12</f>
        <v>13320</v>
      </c>
      <c r="Q24" s="26">
        <f>F24+G24+N24</f>
        <v>490920</v>
      </c>
      <c r="R24" s="26">
        <f>F24+G24+N24+O24</f>
        <v>504240</v>
      </c>
      <c r="S24" s="26">
        <f>F24+G24+N24+O24+P24</f>
        <v>517560</v>
      </c>
      <c r="T24" s="25">
        <v>36310</v>
      </c>
    </row>
    <row r="25" spans="1:20" s="2" customFormat="1" x14ac:dyDescent="0.25">
      <c r="A25" s="70">
        <v>17</v>
      </c>
      <c r="B25" s="86" t="s">
        <v>14</v>
      </c>
      <c r="C25" s="7" t="s">
        <v>74</v>
      </c>
      <c r="D25" s="70">
        <v>1</v>
      </c>
      <c r="E25" s="42">
        <v>1</v>
      </c>
      <c r="F25" s="25">
        <f>30220*12</f>
        <v>362640</v>
      </c>
      <c r="G25" s="26">
        <v>0</v>
      </c>
      <c r="H25" s="70">
        <v>1</v>
      </c>
      <c r="I25" s="70">
        <v>1</v>
      </c>
      <c r="J25" s="70">
        <v>1</v>
      </c>
      <c r="K25" s="42">
        <v>0</v>
      </c>
      <c r="L25" s="42">
        <v>0</v>
      </c>
      <c r="M25" s="42">
        <v>0</v>
      </c>
      <c r="N25" s="26">
        <f>(31340-30220)*12</f>
        <v>13440</v>
      </c>
      <c r="O25" s="26">
        <f>(32450-31340)*12</f>
        <v>13320</v>
      </c>
      <c r="P25" s="26">
        <f>(33560-32450)*12</f>
        <v>13320</v>
      </c>
      <c r="Q25" s="26">
        <f>F25+G25+N25</f>
        <v>376080</v>
      </c>
      <c r="R25" s="26">
        <f>F25+G25+N25+O25</f>
        <v>389400</v>
      </c>
      <c r="S25" s="26">
        <f>F25+G25+N25+O25+P25</f>
        <v>402720</v>
      </c>
      <c r="T25" s="25">
        <v>30220</v>
      </c>
    </row>
    <row r="26" spans="1:20" s="2" customFormat="1" x14ac:dyDescent="0.25">
      <c r="A26" s="75">
        <v>18</v>
      </c>
      <c r="B26" s="86" t="s">
        <v>15</v>
      </c>
      <c r="C26" s="8" t="s">
        <v>76</v>
      </c>
      <c r="D26" s="75">
        <v>1</v>
      </c>
      <c r="E26" s="42">
        <v>1</v>
      </c>
      <c r="F26" s="25">
        <f>29340*12</f>
        <v>352080</v>
      </c>
      <c r="G26" s="26">
        <v>0</v>
      </c>
      <c r="H26" s="75">
        <v>1</v>
      </c>
      <c r="I26" s="75">
        <v>1</v>
      </c>
      <c r="J26" s="75">
        <v>1</v>
      </c>
      <c r="K26" s="42">
        <v>0</v>
      </c>
      <c r="L26" s="42">
        <v>0</v>
      </c>
      <c r="M26" s="42">
        <v>0</v>
      </c>
      <c r="N26" s="26">
        <f>(30290-29340)*12</f>
        <v>11400</v>
      </c>
      <c r="O26" s="26">
        <f>(31260-30290)*12</f>
        <v>11640</v>
      </c>
      <c r="P26" s="26">
        <f>(32270-31260)*12</f>
        <v>12120</v>
      </c>
      <c r="Q26" s="26">
        <f>F26+G26+N26</f>
        <v>363480</v>
      </c>
      <c r="R26" s="26">
        <f>F26+G26+N26+O26</f>
        <v>375120</v>
      </c>
      <c r="S26" s="26">
        <f>F26+G26+N26+O26+P26</f>
        <v>387240</v>
      </c>
      <c r="T26" s="25">
        <v>29340</v>
      </c>
    </row>
    <row r="27" spans="1:20" s="2" customFormat="1" x14ac:dyDescent="0.25">
      <c r="A27" s="75">
        <v>19</v>
      </c>
      <c r="B27" s="86" t="s">
        <v>65</v>
      </c>
      <c r="C27" s="7" t="s">
        <v>76</v>
      </c>
      <c r="D27" s="70">
        <v>1</v>
      </c>
      <c r="E27" s="42">
        <v>1</v>
      </c>
      <c r="F27" s="25">
        <f>22920*12</f>
        <v>275040</v>
      </c>
      <c r="G27" s="26">
        <v>0</v>
      </c>
      <c r="H27" s="70">
        <v>1</v>
      </c>
      <c r="I27" s="70">
        <v>1</v>
      </c>
      <c r="J27" s="70">
        <v>1</v>
      </c>
      <c r="K27" s="42">
        <v>0</v>
      </c>
      <c r="L27" s="42">
        <v>0</v>
      </c>
      <c r="M27" s="42">
        <v>0</v>
      </c>
      <c r="N27" s="26">
        <f>(23820-22920)*12</f>
        <v>10800</v>
      </c>
      <c r="O27" s="26">
        <f>(24730-23820)*12</f>
        <v>10920</v>
      </c>
      <c r="P27" s="26">
        <f>(25660-24730)*12</f>
        <v>11160</v>
      </c>
      <c r="Q27" s="26">
        <f>F27+G27+N27</f>
        <v>285840</v>
      </c>
      <c r="R27" s="26">
        <f>F27+G27+N27+O27</f>
        <v>296760</v>
      </c>
      <c r="S27" s="26">
        <f>F27+G27+N27+O27+P27</f>
        <v>307920</v>
      </c>
      <c r="T27" s="25">
        <v>22920</v>
      </c>
    </row>
    <row r="28" spans="1:20" s="2" customFormat="1" x14ac:dyDescent="0.25">
      <c r="A28" s="75">
        <v>20</v>
      </c>
      <c r="B28" s="86" t="s">
        <v>66</v>
      </c>
      <c r="C28" s="8" t="s">
        <v>78</v>
      </c>
      <c r="D28" s="70">
        <v>1</v>
      </c>
      <c r="E28" s="42">
        <v>1</v>
      </c>
      <c r="F28" s="25">
        <f>11510*12</f>
        <v>138120</v>
      </c>
      <c r="G28" s="26">
        <v>0</v>
      </c>
      <c r="H28" s="70">
        <v>1</v>
      </c>
      <c r="I28" s="70">
        <v>1</v>
      </c>
      <c r="J28" s="70">
        <v>1</v>
      </c>
      <c r="K28" s="42">
        <v>0</v>
      </c>
      <c r="L28" s="42">
        <v>0</v>
      </c>
      <c r="M28" s="42">
        <v>0</v>
      </c>
      <c r="N28" s="26">
        <f>(11960-11510)*12</f>
        <v>5400</v>
      </c>
      <c r="O28" s="26">
        <f>(12470-11960)*12</f>
        <v>6120</v>
      </c>
      <c r="P28" s="26">
        <f>(12970-12470)*12</f>
        <v>6000</v>
      </c>
      <c r="Q28" s="26">
        <f>F28+G28+N28</f>
        <v>143520</v>
      </c>
      <c r="R28" s="26">
        <f>F28+G28+N28+O28</f>
        <v>149640</v>
      </c>
      <c r="S28" s="26">
        <f>F28+G28+N28+O28+P28</f>
        <v>155640</v>
      </c>
      <c r="T28" s="25">
        <v>11510</v>
      </c>
    </row>
    <row r="29" spans="1:20" s="2" customFormat="1" ht="20.25" x14ac:dyDescent="0.3">
      <c r="A29" s="11"/>
      <c r="B29" s="12"/>
      <c r="C29" s="13"/>
      <c r="D29" s="11"/>
      <c r="E29" s="43"/>
      <c r="F29" s="27"/>
      <c r="G29" s="27"/>
      <c r="H29" s="11"/>
      <c r="I29" s="11"/>
      <c r="J29" s="11"/>
      <c r="K29" s="43"/>
      <c r="L29" s="54"/>
      <c r="M29" s="43"/>
      <c r="N29" s="29"/>
      <c r="O29" s="29"/>
      <c r="P29" s="29"/>
      <c r="Q29" s="27"/>
      <c r="R29" s="27"/>
      <c r="S29" s="27"/>
      <c r="T29" s="27"/>
    </row>
    <row r="30" spans="1:20" s="18" customFormat="1" ht="20.25" x14ac:dyDescent="0.3">
      <c r="A30" s="14"/>
      <c r="B30" s="15"/>
      <c r="C30" s="16"/>
      <c r="D30" s="14"/>
      <c r="E30" s="44"/>
      <c r="F30" s="28"/>
      <c r="G30" s="28"/>
      <c r="H30" s="14"/>
      <c r="I30" s="14"/>
      <c r="J30" s="77"/>
      <c r="K30" s="44"/>
      <c r="L30" s="55"/>
      <c r="M30" s="44"/>
      <c r="N30" s="30"/>
      <c r="O30" s="30"/>
      <c r="P30" s="30"/>
      <c r="Q30" s="28"/>
      <c r="R30" s="28"/>
      <c r="S30" s="28"/>
      <c r="T30" s="28"/>
    </row>
    <row r="31" spans="1:20" s="18" customFormat="1" ht="20.25" x14ac:dyDescent="0.3">
      <c r="A31" s="14"/>
      <c r="B31" s="15"/>
      <c r="C31" s="16"/>
      <c r="D31" s="14"/>
      <c r="E31" s="44"/>
      <c r="F31" s="28"/>
      <c r="G31" s="28"/>
      <c r="H31" s="14"/>
      <c r="I31" s="14"/>
      <c r="J31" s="77" t="s">
        <v>90</v>
      </c>
      <c r="K31" s="44"/>
      <c r="L31" s="55"/>
      <c r="M31" s="44"/>
      <c r="N31" s="30"/>
      <c r="O31" s="30"/>
      <c r="P31" s="30"/>
      <c r="Q31" s="28"/>
      <c r="R31" s="28"/>
      <c r="S31" s="28"/>
      <c r="T31" s="28"/>
    </row>
    <row r="32" spans="1:20" s="18" customFormat="1" ht="20.25" x14ac:dyDescent="0.3">
      <c r="A32" s="14"/>
      <c r="B32" s="15"/>
      <c r="C32" s="16"/>
      <c r="D32" s="14"/>
      <c r="E32" s="44"/>
      <c r="F32" s="28"/>
      <c r="G32" s="28"/>
      <c r="H32" s="14"/>
      <c r="I32" s="14"/>
      <c r="J32" s="14"/>
      <c r="K32" s="44"/>
      <c r="L32" s="55"/>
      <c r="M32" s="44"/>
      <c r="N32" s="30"/>
      <c r="O32" s="30"/>
      <c r="P32" s="30"/>
      <c r="Q32" s="28"/>
      <c r="R32" s="28"/>
      <c r="S32" s="28"/>
      <c r="T32" s="28"/>
    </row>
    <row r="33" spans="1:20" s="2" customFormat="1" x14ac:dyDescent="0.25">
      <c r="A33" s="125" t="s">
        <v>1</v>
      </c>
      <c r="B33" s="125" t="s">
        <v>2</v>
      </c>
      <c r="C33" s="67" t="s">
        <v>3</v>
      </c>
      <c r="D33" s="67" t="s">
        <v>5</v>
      </c>
      <c r="E33" s="128" t="s">
        <v>7</v>
      </c>
      <c r="F33" s="129"/>
      <c r="G33" s="130"/>
      <c r="H33" s="131" t="s">
        <v>8</v>
      </c>
      <c r="I33" s="131"/>
      <c r="J33" s="131"/>
      <c r="K33" s="132" t="s">
        <v>58</v>
      </c>
      <c r="L33" s="133"/>
      <c r="M33" s="134"/>
      <c r="N33" s="135" t="s">
        <v>59</v>
      </c>
      <c r="O33" s="136"/>
      <c r="P33" s="137"/>
      <c r="Q33" s="135" t="s">
        <v>60</v>
      </c>
      <c r="R33" s="136"/>
      <c r="S33" s="137"/>
      <c r="T33" s="61" t="s">
        <v>27</v>
      </c>
    </row>
    <row r="34" spans="1:20" s="2" customFormat="1" x14ac:dyDescent="0.25">
      <c r="A34" s="126"/>
      <c r="B34" s="126"/>
      <c r="C34" s="68" t="s">
        <v>4</v>
      </c>
      <c r="D34" s="68" t="s">
        <v>6</v>
      </c>
      <c r="E34" s="40" t="s">
        <v>9</v>
      </c>
      <c r="F34" s="23" t="s">
        <v>11</v>
      </c>
      <c r="G34" s="23" t="s">
        <v>55</v>
      </c>
      <c r="H34" s="119" t="s">
        <v>40</v>
      </c>
      <c r="I34" s="119"/>
      <c r="J34" s="119"/>
      <c r="K34" s="120" t="s">
        <v>57</v>
      </c>
      <c r="L34" s="121"/>
      <c r="M34" s="122"/>
      <c r="N34" s="138"/>
      <c r="O34" s="139"/>
      <c r="P34" s="140"/>
      <c r="Q34" s="138"/>
      <c r="R34" s="139"/>
      <c r="S34" s="140"/>
      <c r="T34" s="62" t="s">
        <v>26</v>
      </c>
    </row>
    <row r="35" spans="1:20" s="2" customFormat="1" x14ac:dyDescent="0.25">
      <c r="A35" s="127"/>
      <c r="B35" s="127"/>
      <c r="C35" s="69"/>
      <c r="D35" s="69"/>
      <c r="E35" s="41" t="s">
        <v>10</v>
      </c>
      <c r="F35" s="24" t="s">
        <v>12</v>
      </c>
      <c r="G35" s="24" t="s">
        <v>56</v>
      </c>
      <c r="H35" s="75">
        <v>2564</v>
      </c>
      <c r="I35" s="75">
        <v>2565</v>
      </c>
      <c r="J35" s="75">
        <v>2566</v>
      </c>
      <c r="K35" s="75">
        <v>2564</v>
      </c>
      <c r="L35" s="75">
        <v>2565</v>
      </c>
      <c r="M35" s="75">
        <v>2566</v>
      </c>
      <c r="N35" s="75">
        <v>2564</v>
      </c>
      <c r="O35" s="75">
        <v>2565</v>
      </c>
      <c r="P35" s="75">
        <v>2566</v>
      </c>
      <c r="Q35" s="75">
        <v>2564</v>
      </c>
      <c r="R35" s="75">
        <v>2565</v>
      </c>
      <c r="S35" s="75">
        <v>2566</v>
      </c>
      <c r="T35" s="63"/>
    </row>
    <row r="36" spans="1:20" s="2" customFormat="1" x14ac:dyDescent="0.25">
      <c r="A36" s="70"/>
      <c r="B36" s="89" t="s">
        <v>23</v>
      </c>
      <c r="C36" s="1"/>
      <c r="D36" s="70"/>
      <c r="E36" s="42"/>
      <c r="F36" s="26"/>
      <c r="G36" s="26"/>
      <c r="H36" s="70"/>
      <c r="I36" s="70"/>
      <c r="J36" s="70"/>
      <c r="K36" s="42"/>
      <c r="L36" s="42"/>
      <c r="M36" s="42"/>
      <c r="N36" s="25"/>
      <c r="O36" s="25"/>
      <c r="P36" s="25"/>
      <c r="Q36" s="26"/>
      <c r="R36" s="26"/>
      <c r="S36" s="26"/>
      <c r="T36" s="26"/>
    </row>
    <row r="37" spans="1:20" s="2" customFormat="1" x14ac:dyDescent="0.25">
      <c r="A37" s="70">
        <v>21</v>
      </c>
      <c r="B37" s="86" t="s">
        <v>44</v>
      </c>
      <c r="C37" s="8"/>
      <c r="D37" s="70">
        <v>1</v>
      </c>
      <c r="E37" s="42">
        <v>1</v>
      </c>
      <c r="F37" s="25">
        <f>11500*12</f>
        <v>138000</v>
      </c>
      <c r="G37" s="25">
        <v>0</v>
      </c>
      <c r="H37" s="75">
        <v>1</v>
      </c>
      <c r="I37" s="75">
        <v>1</v>
      </c>
      <c r="J37" s="75">
        <v>1</v>
      </c>
      <c r="K37" s="42">
        <v>0</v>
      </c>
      <c r="L37" s="42">
        <v>0</v>
      </c>
      <c r="M37" s="42">
        <v>0</v>
      </c>
      <c r="N37" s="26">
        <v>5520</v>
      </c>
      <c r="O37" s="26">
        <v>5760</v>
      </c>
      <c r="P37" s="26">
        <v>6000</v>
      </c>
      <c r="Q37" s="26">
        <f>F37+G37+N37</f>
        <v>143520</v>
      </c>
      <c r="R37" s="26">
        <f>F37+G37+N37+O37</f>
        <v>149280</v>
      </c>
      <c r="S37" s="26">
        <f>F37+G37+N37+O37+P37</f>
        <v>155280</v>
      </c>
      <c r="T37" s="25">
        <v>11500</v>
      </c>
    </row>
    <row r="38" spans="1:20" s="2" customFormat="1" x14ac:dyDescent="0.25">
      <c r="A38" s="70">
        <v>22</v>
      </c>
      <c r="B38" s="86" t="s">
        <v>67</v>
      </c>
      <c r="C38" s="8"/>
      <c r="D38" s="70">
        <v>1</v>
      </c>
      <c r="E38" s="42">
        <v>1</v>
      </c>
      <c r="F38" s="25">
        <f>13490*12</f>
        <v>161880</v>
      </c>
      <c r="G38" s="26">
        <v>0</v>
      </c>
      <c r="H38" s="70">
        <v>1</v>
      </c>
      <c r="I38" s="70">
        <v>1</v>
      </c>
      <c r="J38" s="70">
        <v>1</v>
      </c>
      <c r="K38" s="42">
        <v>0</v>
      </c>
      <c r="L38" s="42">
        <v>0</v>
      </c>
      <c r="M38" s="42">
        <v>0</v>
      </c>
      <c r="N38" s="26">
        <v>6480</v>
      </c>
      <c r="O38" s="26">
        <v>6840</v>
      </c>
      <c r="P38" s="26">
        <v>7080</v>
      </c>
      <c r="Q38" s="26">
        <f>F38+G38+N38</f>
        <v>168360</v>
      </c>
      <c r="R38" s="26">
        <f>F38+G38+N38+O38</f>
        <v>175200</v>
      </c>
      <c r="S38" s="26">
        <f>F38+G38+N38+O38+P38</f>
        <v>182280</v>
      </c>
      <c r="T38" s="25">
        <v>13490</v>
      </c>
    </row>
    <row r="39" spans="1:20" s="2" customFormat="1" x14ac:dyDescent="0.25">
      <c r="A39" s="70"/>
      <c r="B39" s="89" t="s">
        <v>41</v>
      </c>
      <c r="C39" s="7"/>
      <c r="D39" s="70"/>
      <c r="E39" s="42"/>
      <c r="F39" s="25"/>
      <c r="G39" s="25"/>
      <c r="H39" s="70"/>
      <c r="I39" s="70"/>
      <c r="J39" s="70"/>
      <c r="K39" s="42"/>
      <c r="L39" s="42"/>
      <c r="M39" s="42"/>
      <c r="N39" s="102"/>
      <c r="O39" s="102"/>
      <c r="P39" s="102"/>
      <c r="Q39" s="102"/>
      <c r="R39" s="102"/>
      <c r="S39" s="102"/>
      <c r="T39" s="103"/>
    </row>
    <row r="40" spans="1:20" s="2" customFormat="1" x14ac:dyDescent="0.25">
      <c r="A40" s="70">
        <v>23</v>
      </c>
      <c r="B40" s="88" t="s">
        <v>42</v>
      </c>
      <c r="C40" s="7" t="s">
        <v>34</v>
      </c>
      <c r="D40" s="70">
        <v>1</v>
      </c>
      <c r="E40" s="42">
        <v>1</v>
      </c>
      <c r="F40" s="25">
        <f>25970*12</f>
        <v>311640</v>
      </c>
      <c r="G40" s="25">
        <f>3500*12</f>
        <v>42000</v>
      </c>
      <c r="H40" s="70">
        <v>1</v>
      </c>
      <c r="I40" s="70">
        <v>1</v>
      </c>
      <c r="J40" s="70">
        <v>1</v>
      </c>
      <c r="K40" s="42">
        <v>0</v>
      </c>
      <c r="L40" s="42">
        <v>0</v>
      </c>
      <c r="M40" s="42">
        <v>0</v>
      </c>
      <c r="N40" s="26">
        <f>(26980-25970)*12</f>
        <v>12120</v>
      </c>
      <c r="O40" s="26">
        <f>(28030-26980)*12</f>
        <v>12600</v>
      </c>
      <c r="P40" s="26">
        <f>(29110-28030)*12</f>
        <v>12960</v>
      </c>
      <c r="Q40" s="26">
        <f>F40+G40+N40</f>
        <v>365760</v>
      </c>
      <c r="R40" s="26">
        <f>F40+G40+N40+O40</f>
        <v>378360</v>
      </c>
      <c r="S40" s="26">
        <f>F40+G40+N40+O40+P40</f>
        <v>391320</v>
      </c>
      <c r="T40" s="25">
        <v>25970</v>
      </c>
    </row>
    <row r="41" spans="1:20" s="2" customFormat="1" x14ac:dyDescent="0.25">
      <c r="A41" s="70">
        <v>24</v>
      </c>
      <c r="B41" s="86" t="s">
        <v>38</v>
      </c>
      <c r="C41" s="7" t="s">
        <v>76</v>
      </c>
      <c r="D41" s="70">
        <v>1</v>
      </c>
      <c r="E41" s="42">
        <v>1</v>
      </c>
      <c r="F41" s="25">
        <f>22920*12</f>
        <v>275040</v>
      </c>
      <c r="G41" s="26">
        <v>0</v>
      </c>
      <c r="H41" s="70">
        <v>1</v>
      </c>
      <c r="I41" s="70">
        <v>1</v>
      </c>
      <c r="J41" s="70">
        <v>1</v>
      </c>
      <c r="K41" s="42">
        <v>0</v>
      </c>
      <c r="L41" s="42">
        <v>0</v>
      </c>
      <c r="M41" s="42">
        <v>0</v>
      </c>
      <c r="N41" s="26">
        <f>(23820-22920)*12</f>
        <v>10800</v>
      </c>
      <c r="O41" s="26">
        <f>(24730-23820)*12</f>
        <v>10920</v>
      </c>
      <c r="P41" s="26">
        <f>(25660-24730)*12</f>
        <v>11160</v>
      </c>
      <c r="Q41" s="26">
        <f>F41+G41+N41</f>
        <v>285840</v>
      </c>
      <c r="R41" s="26">
        <f>F41+G41+N41+O41</f>
        <v>296760</v>
      </c>
      <c r="S41" s="26">
        <f>F41+G41+N41+O41+P41</f>
        <v>307920</v>
      </c>
      <c r="T41" s="25">
        <v>22920</v>
      </c>
    </row>
    <row r="42" spans="1:20" s="2" customFormat="1" x14ac:dyDescent="0.25">
      <c r="A42" s="70"/>
      <c r="B42" s="89" t="s">
        <v>23</v>
      </c>
      <c r="C42" s="8"/>
      <c r="D42" s="70"/>
      <c r="E42" s="42"/>
      <c r="F42" s="25"/>
      <c r="G42" s="25"/>
      <c r="H42" s="70"/>
      <c r="I42" s="70"/>
      <c r="J42" s="70"/>
      <c r="K42" s="42"/>
      <c r="L42" s="42"/>
      <c r="M42" s="42"/>
      <c r="N42" s="102"/>
      <c r="O42" s="102"/>
      <c r="P42" s="102"/>
      <c r="Q42" s="102"/>
      <c r="R42" s="102"/>
      <c r="S42" s="102"/>
      <c r="T42" s="102"/>
    </row>
    <row r="43" spans="1:20" s="2" customFormat="1" x14ac:dyDescent="0.25">
      <c r="A43" s="75">
        <v>25</v>
      </c>
      <c r="B43" s="86" t="s">
        <v>87</v>
      </c>
      <c r="C43" s="8"/>
      <c r="D43" s="75">
        <v>1</v>
      </c>
      <c r="E43" s="42">
        <v>1</v>
      </c>
      <c r="F43" s="25">
        <f>11960*12</f>
        <v>143520</v>
      </c>
      <c r="G43" s="26">
        <v>0</v>
      </c>
      <c r="H43" s="75">
        <v>1</v>
      </c>
      <c r="I43" s="75">
        <v>1</v>
      </c>
      <c r="J43" s="75">
        <v>1</v>
      </c>
      <c r="K43" s="42">
        <v>0</v>
      </c>
      <c r="L43" s="42">
        <v>0</v>
      </c>
      <c r="M43" s="42">
        <v>0</v>
      </c>
      <c r="N43" s="26">
        <v>5760</v>
      </c>
      <c r="O43" s="26">
        <v>6000</v>
      </c>
      <c r="P43" s="26">
        <v>6240</v>
      </c>
      <c r="Q43" s="26">
        <f>F43+G43+N43</f>
        <v>149280</v>
      </c>
      <c r="R43" s="26">
        <f>F43+G43+N43+O43</f>
        <v>155280</v>
      </c>
      <c r="S43" s="26">
        <f>F43+G43+N43+O43+P43</f>
        <v>161520</v>
      </c>
      <c r="T43" s="25">
        <v>11960</v>
      </c>
    </row>
    <row r="44" spans="1:20" s="2" customFormat="1" x14ac:dyDescent="0.25">
      <c r="A44" s="70">
        <v>26</v>
      </c>
      <c r="B44" s="86" t="s">
        <v>44</v>
      </c>
      <c r="C44" s="7"/>
      <c r="D44" s="70">
        <v>1</v>
      </c>
      <c r="E44" s="42">
        <v>1</v>
      </c>
      <c r="F44" s="25">
        <f>13090*12</f>
        <v>157080</v>
      </c>
      <c r="G44" s="26">
        <v>0</v>
      </c>
      <c r="H44" s="70">
        <v>1</v>
      </c>
      <c r="I44" s="70">
        <v>1</v>
      </c>
      <c r="J44" s="70">
        <v>1</v>
      </c>
      <c r="K44" s="42">
        <v>0</v>
      </c>
      <c r="L44" s="42">
        <v>0</v>
      </c>
      <c r="M44" s="42">
        <v>0</v>
      </c>
      <c r="N44" s="26">
        <v>6360</v>
      </c>
      <c r="O44" s="26">
        <v>6600</v>
      </c>
      <c r="P44" s="26">
        <v>6840</v>
      </c>
      <c r="Q44" s="26">
        <f>F44+G44+N44</f>
        <v>163440</v>
      </c>
      <c r="R44" s="26">
        <f>F44+G44+N44+O44</f>
        <v>170040</v>
      </c>
      <c r="S44" s="26">
        <f>F44+G44+N44+O44+P44</f>
        <v>176880</v>
      </c>
      <c r="T44" s="25">
        <v>13090</v>
      </c>
    </row>
    <row r="45" spans="1:20" s="2" customFormat="1" x14ac:dyDescent="0.25">
      <c r="A45" s="70">
        <v>27</v>
      </c>
      <c r="B45" s="86" t="s">
        <v>48</v>
      </c>
      <c r="C45" s="7"/>
      <c r="D45" s="70">
        <v>1</v>
      </c>
      <c r="E45" s="42">
        <v>1</v>
      </c>
      <c r="F45" s="25">
        <f>12300*12</f>
        <v>147600</v>
      </c>
      <c r="G45" s="26">
        <v>0</v>
      </c>
      <c r="H45" s="70">
        <v>1</v>
      </c>
      <c r="I45" s="70">
        <v>1</v>
      </c>
      <c r="J45" s="70">
        <v>1</v>
      </c>
      <c r="K45" s="42">
        <v>0</v>
      </c>
      <c r="L45" s="42">
        <v>0</v>
      </c>
      <c r="M45" s="42">
        <v>0</v>
      </c>
      <c r="N45" s="26">
        <v>6000</v>
      </c>
      <c r="O45" s="26">
        <v>6240</v>
      </c>
      <c r="P45" s="26">
        <v>6480</v>
      </c>
      <c r="Q45" s="26">
        <f>F45+G45+N45</f>
        <v>153600</v>
      </c>
      <c r="R45" s="26">
        <f>F45+G45+N45+O45</f>
        <v>159840</v>
      </c>
      <c r="S45" s="26">
        <f>F45+G45+N45+O45+P45</f>
        <v>166320</v>
      </c>
      <c r="T45" s="25">
        <v>12300</v>
      </c>
    </row>
    <row r="46" spans="1:20" s="2" customFormat="1" x14ac:dyDescent="0.25">
      <c r="A46" s="70">
        <v>28</v>
      </c>
      <c r="B46" s="86" t="s">
        <v>43</v>
      </c>
      <c r="C46" s="7"/>
      <c r="D46" s="70">
        <v>1</v>
      </c>
      <c r="E46" s="42">
        <v>1</v>
      </c>
      <c r="F46" s="25">
        <f>10850*12</f>
        <v>130200</v>
      </c>
      <c r="G46" s="26">
        <v>0</v>
      </c>
      <c r="H46" s="70">
        <v>1</v>
      </c>
      <c r="I46" s="70">
        <v>1</v>
      </c>
      <c r="J46" s="70">
        <v>1</v>
      </c>
      <c r="K46" s="42">
        <v>0</v>
      </c>
      <c r="L46" s="42">
        <v>0</v>
      </c>
      <c r="M46" s="42">
        <v>0</v>
      </c>
      <c r="N46" s="26">
        <v>5280</v>
      </c>
      <c r="O46" s="26">
        <v>5520</v>
      </c>
      <c r="P46" s="26">
        <v>5640</v>
      </c>
      <c r="Q46" s="26">
        <f>F46+G46+N46</f>
        <v>135480</v>
      </c>
      <c r="R46" s="26">
        <f>F46+G46+N46+O46</f>
        <v>141000</v>
      </c>
      <c r="S46" s="26">
        <f>F46+G46+N46+O46+P46</f>
        <v>146640</v>
      </c>
      <c r="T46" s="25">
        <v>10850</v>
      </c>
    </row>
    <row r="47" spans="1:20" s="2" customFormat="1" x14ac:dyDescent="0.25">
      <c r="A47" s="70"/>
      <c r="B47" s="89" t="s">
        <v>31</v>
      </c>
      <c r="C47" s="7"/>
      <c r="D47" s="70"/>
      <c r="E47" s="42"/>
      <c r="F47" s="25"/>
      <c r="G47" s="25"/>
      <c r="H47" s="70"/>
      <c r="I47" s="70"/>
      <c r="J47" s="70"/>
      <c r="K47" s="42"/>
      <c r="L47" s="42"/>
      <c r="M47" s="42"/>
      <c r="N47" s="102"/>
      <c r="O47" s="102"/>
      <c r="P47" s="102"/>
      <c r="Q47" s="102"/>
      <c r="R47" s="102"/>
      <c r="S47" s="102"/>
      <c r="T47" s="102"/>
    </row>
    <row r="48" spans="1:20" s="2" customFormat="1" x14ac:dyDescent="0.25">
      <c r="A48" s="70">
        <v>29</v>
      </c>
      <c r="B48" s="92" t="s">
        <v>86</v>
      </c>
      <c r="C48" s="7" t="s">
        <v>34</v>
      </c>
      <c r="D48" s="70">
        <v>1</v>
      </c>
      <c r="E48" s="42">
        <v>1</v>
      </c>
      <c r="F48" s="25">
        <f>32450*12</f>
        <v>389400</v>
      </c>
      <c r="G48" s="25">
        <f>3500*12</f>
        <v>42000</v>
      </c>
      <c r="H48" s="70">
        <v>1</v>
      </c>
      <c r="I48" s="70">
        <v>1</v>
      </c>
      <c r="J48" s="70">
        <v>1</v>
      </c>
      <c r="K48" s="42">
        <v>0</v>
      </c>
      <c r="L48" s="42">
        <v>0</v>
      </c>
      <c r="M48" s="42">
        <v>0</v>
      </c>
      <c r="N48" s="26">
        <f>(33560-32450)*12</f>
        <v>13320</v>
      </c>
      <c r="O48" s="26">
        <f>(34680-33560)*12</f>
        <v>13440</v>
      </c>
      <c r="P48" s="26">
        <f>(35770-34680)*12</f>
        <v>13080</v>
      </c>
      <c r="Q48" s="26">
        <f>F48+G48+N48</f>
        <v>444720</v>
      </c>
      <c r="R48" s="26">
        <f>F48+G48+N48+O48</f>
        <v>458160</v>
      </c>
      <c r="S48" s="26">
        <f>F48+G48+N48+O48+P48</f>
        <v>471240</v>
      </c>
      <c r="T48" s="25">
        <v>32450</v>
      </c>
    </row>
    <row r="49" spans="1:20" s="2" customFormat="1" x14ac:dyDescent="0.25">
      <c r="A49" s="70">
        <v>30</v>
      </c>
      <c r="B49" s="86" t="s">
        <v>16</v>
      </c>
      <c r="C49" s="7" t="s">
        <v>79</v>
      </c>
      <c r="D49" s="70">
        <v>1</v>
      </c>
      <c r="E49" s="42">
        <v>1</v>
      </c>
      <c r="F49" s="25">
        <f>24480*12</f>
        <v>293760</v>
      </c>
      <c r="G49" s="26">
        <v>0</v>
      </c>
      <c r="H49" s="70">
        <v>1</v>
      </c>
      <c r="I49" s="70">
        <v>1</v>
      </c>
      <c r="J49" s="70">
        <v>1</v>
      </c>
      <c r="K49" s="42">
        <v>0</v>
      </c>
      <c r="L49" s="42">
        <v>0</v>
      </c>
      <c r="M49" s="42">
        <v>0</v>
      </c>
      <c r="N49" s="26">
        <f>(25270-24480)*12</f>
        <v>9480</v>
      </c>
      <c r="O49" s="26">
        <f>(26080-25270)*12</f>
        <v>9720</v>
      </c>
      <c r="P49" s="26">
        <f>(26920-26080)*12</f>
        <v>10080</v>
      </c>
      <c r="Q49" s="26">
        <f>F49+G49+N49</f>
        <v>303240</v>
      </c>
      <c r="R49" s="26">
        <f>F49+G49+N49+O49</f>
        <v>312960</v>
      </c>
      <c r="S49" s="26">
        <f>F49+G49+N49+O49+P49</f>
        <v>323040</v>
      </c>
      <c r="T49" s="25">
        <v>24480</v>
      </c>
    </row>
    <row r="50" spans="1:20" s="2" customFormat="1" x14ac:dyDescent="0.25">
      <c r="A50" s="75">
        <v>31</v>
      </c>
      <c r="B50" s="86" t="s">
        <v>47</v>
      </c>
      <c r="C50" s="7"/>
      <c r="D50" s="70">
        <v>1</v>
      </c>
      <c r="E50" s="42">
        <v>1</v>
      </c>
      <c r="F50" s="25">
        <v>0</v>
      </c>
      <c r="G50" s="25">
        <v>0</v>
      </c>
      <c r="H50" s="70">
        <v>1</v>
      </c>
      <c r="I50" s="70">
        <v>1</v>
      </c>
      <c r="J50" s="70">
        <v>1</v>
      </c>
      <c r="K50" s="42">
        <v>0</v>
      </c>
      <c r="L50" s="42">
        <v>0</v>
      </c>
      <c r="M50" s="42">
        <v>0</v>
      </c>
      <c r="N50" s="25">
        <v>0</v>
      </c>
      <c r="O50" s="25">
        <v>0</v>
      </c>
      <c r="P50" s="25">
        <v>0</v>
      </c>
      <c r="Q50" s="26">
        <f t="shared" ref="Q50:Q53" si="12">F50+N50</f>
        <v>0</v>
      </c>
      <c r="R50" s="26">
        <f t="shared" ref="R50:R53" si="13">F50+O50+P50</f>
        <v>0</v>
      </c>
      <c r="S50" s="26">
        <f t="shared" ref="S50:S53" si="14">F50+N50+O50+P50</f>
        <v>0</v>
      </c>
      <c r="T50" s="73" t="s">
        <v>46</v>
      </c>
    </row>
    <row r="51" spans="1:20" s="2" customFormat="1" x14ac:dyDescent="0.25">
      <c r="A51" s="75">
        <v>32</v>
      </c>
      <c r="B51" s="86" t="s">
        <v>47</v>
      </c>
      <c r="C51" s="7"/>
      <c r="D51" s="70">
        <v>1</v>
      </c>
      <c r="E51" s="42">
        <v>1</v>
      </c>
      <c r="F51" s="25">
        <v>0</v>
      </c>
      <c r="G51" s="25">
        <v>0</v>
      </c>
      <c r="H51" s="70">
        <v>1</v>
      </c>
      <c r="I51" s="70">
        <v>1</v>
      </c>
      <c r="J51" s="70">
        <v>1</v>
      </c>
      <c r="K51" s="42">
        <v>0</v>
      </c>
      <c r="L51" s="42">
        <v>0</v>
      </c>
      <c r="M51" s="42">
        <v>0</v>
      </c>
      <c r="N51" s="25">
        <v>0</v>
      </c>
      <c r="O51" s="25">
        <v>0</v>
      </c>
      <c r="P51" s="25">
        <v>0</v>
      </c>
      <c r="Q51" s="26">
        <f t="shared" si="12"/>
        <v>0</v>
      </c>
      <c r="R51" s="26">
        <f t="shared" si="13"/>
        <v>0</v>
      </c>
      <c r="S51" s="26">
        <f t="shared" si="14"/>
        <v>0</v>
      </c>
      <c r="T51" s="73" t="s">
        <v>46</v>
      </c>
    </row>
    <row r="52" spans="1:20" s="2" customFormat="1" x14ac:dyDescent="0.25">
      <c r="A52" s="75">
        <v>33</v>
      </c>
      <c r="B52" s="86" t="s">
        <v>47</v>
      </c>
      <c r="C52" s="7"/>
      <c r="D52" s="70">
        <v>1</v>
      </c>
      <c r="E52" s="42">
        <v>1</v>
      </c>
      <c r="F52" s="25">
        <v>0</v>
      </c>
      <c r="G52" s="25">
        <v>0</v>
      </c>
      <c r="H52" s="70">
        <v>1</v>
      </c>
      <c r="I52" s="70">
        <v>1</v>
      </c>
      <c r="J52" s="70">
        <v>1</v>
      </c>
      <c r="K52" s="42">
        <v>0</v>
      </c>
      <c r="L52" s="42">
        <v>0</v>
      </c>
      <c r="M52" s="42">
        <v>0</v>
      </c>
      <c r="N52" s="25">
        <v>0</v>
      </c>
      <c r="O52" s="25">
        <v>0</v>
      </c>
      <c r="P52" s="25">
        <v>0</v>
      </c>
      <c r="Q52" s="26">
        <f t="shared" si="12"/>
        <v>0</v>
      </c>
      <c r="R52" s="26">
        <f t="shared" si="13"/>
        <v>0</v>
      </c>
      <c r="S52" s="26">
        <f t="shared" si="14"/>
        <v>0</v>
      </c>
      <c r="T52" s="73" t="s">
        <v>46</v>
      </c>
    </row>
    <row r="53" spans="1:20" s="2" customFormat="1" x14ac:dyDescent="0.25">
      <c r="A53" s="75">
        <v>34</v>
      </c>
      <c r="B53" s="86" t="s">
        <v>47</v>
      </c>
      <c r="C53" s="7"/>
      <c r="D53" s="70">
        <v>1</v>
      </c>
      <c r="E53" s="42">
        <v>1</v>
      </c>
      <c r="F53" s="25">
        <v>0</v>
      </c>
      <c r="G53" s="25">
        <v>0</v>
      </c>
      <c r="H53" s="70">
        <v>1</v>
      </c>
      <c r="I53" s="70">
        <v>1</v>
      </c>
      <c r="J53" s="70">
        <v>1</v>
      </c>
      <c r="K53" s="42">
        <v>0</v>
      </c>
      <c r="L53" s="42">
        <v>0</v>
      </c>
      <c r="M53" s="42">
        <v>0</v>
      </c>
      <c r="N53" s="25">
        <v>0</v>
      </c>
      <c r="O53" s="25">
        <v>0</v>
      </c>
      <c r="P53" s="25">
        <v>0</v>
      </c>
      <c r="Q53" s="26">
        <f t="shared" si="12"/>
        <v>0</v>
      </c>
      <c r="R53" s="26">
        <f t="shared" si="13"/>
        <v>0</v>
      </c>
      <c r="S53" s="26">
        <f t="shared" si="14"/>
        <v>0</v>
      </c>
      <c r="T53" s="73" t="s">
        <v>46</v>
      </c>
    </row>
    <row r="54" spans="1:20" s="2" customFormat="1" x14ac:dyDescent="0.25">
      <c r="A54" s="100"/>
      <c r="B54" s="93" t="s">
        <v>23</v>
      </c>
      <c r="C54" s="100"/>
      <c r="D54" s="100"/>
      <c r="E54" s="41"/>
      <c r="F54" s="24"/>
      <c r="G54" s="24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63"/>
    </row>
    <row r="55" spans="1:20" s="2" customFormat="1" x14ac:dyDescent="0.25">
      <c r="A55" s="75">
        <v>35</v>
      </c>
      <c r="B55" s="86" t="s">
        <v>68</v>
      </c>
      <c r="C55" s="7"/>
      <c r="D55" s="75">
        <v>1</v>
      </c>
      <c r="E55" s="42">
        <v>1</v>
      </c>
      <c r="F55" s="25">
        <f>22750*12</f>
        <v>273000</v>
      </c>
      <c r="G55" s="25">
        <v>0</v>
      </c>
      <c r="H55" s="75">
        <v>1</v>
      </c>
      <c r="I55" s="75">
        <v>1</v>
      </c>
      <c r="J55" s="75">
        <v>1</v>
      </c>
      <c r="K55" s="42">
        <v>0</v>
      </c>
      <c r="L55" s="42">
        <v>0</v>
      </c>
      <c r="M55" s="42">
        <v>0</v>
      </c>
      <c r="N55" s="26">
        <v>11040</v>
      </c>
      <c r="O55" s="26">
        <v>11400</v>
      </c>
      <c r="P55" s="26">
        <v>11880</v>
      </c>
      <c r="Q55" s="26">
        <f>F55+G55+N55</f>
        <v>284040</v>
      </c>
      <c r="R55" s="26">
        <f>F55+G55+N55+O55</f>
        <v>295440</v>
      </c>
      <c r="S55" s="26">
        <f>F55+G55+N55+O55+P55</f>
        <v>307320</v>
      </c>
      <c r="T55" s="25">
        <v>22750</v>
      </c>
    </row>
    <row r="56" spans="1:20" s="2" customFormat="1" x14ac:dyDescent="0.25">
      <c r="A56" s="75">
        <v>36</v>
      </c>
      <c r="B56" s="86" t="s">
        <v>69</v>
      </c>
      <c r="C56" s="7"/>
      <c r="D56" s="75">
        <v>1</v>
      </c>
      <c r="E56" s="42">
        <v>1</v>
      </c>
      <c r="F56" s="25">
        <v>0</v>
      </c>
      <c r="G56" s="25">
        <v>0</v>
      </c>
      <c r="H56" s="75">
        <v>1</v>
      </c>
      <c r="I56" s="75">
        <v>1</v>
      </c>
      <c r="J56" s="75">
        <v>1</v>
      </c>
      <c r="K56" s="42">
        <v>0</v>
      </c>
      <c r="L56" s="42">
        <v>0</v>
      </c>
      <c r="M56" s="42">
        <v>0</v>
      </c>
      <c r="N56" s="25">
        <v>0</v>
      </c>
      <c r="O56" s="25">
        <v>0</v>
      </c>
      <c r="P56" s="25">
        <v>0</v>
      </c>
      <c r="Q56" s="26">
        <f t="shared" ref="Q56" si="15">F56+N56</f>
        <v>0</v>
      </c>
      <c r="R56" s="26">
        <f t="shared" ref="R56" si="16">F56+O56+P56</f>
        <v>0</v>
      </c>
      <c r="S56" s="26">
        <f t="shared" ref="S56" si="17">F56+N56+O56+P56</f>
        <v>0</v>
      </c>
      <c r="T56" s="73" t="s">
        <v>46</v>
      </c>
    </row>
    <row r="57" spans="1:20" s="2" customFormat="1" x14ac:dyDescent="0.25">
      <c r="A57" s="14"/>
      <c r="B57" s="104"/>
      <c r="C57" s="105"/>
      <c r="D57" s="14"/>
      <c r="E57" s="44"/>
      <c r="F57" s="30"/>
      <c r="G57" s="30"/>
      <c r="H57" s="14"/>
      <c r="I57" s="14"/>
      <c r="J57" s="14"/>
      <c r="K57" s="44"/>
      <c r="L57" s="44"/>
      <c r="M57" s="44"/>
      <c r="N57" s="106"/>
      <c r="O57" s="106"/>
      <c r="P57" s="106"/>
      <c r="Q57" s="106"/>
      <c r="R57" s="106"/>
      <c r="S57" s="106"/>
      <c r="T57" s="107"/>
    </row>
    <row r="58" spans="1:20" s="2" customFormat="1" x14ac:dyDescent="0.25">
      <c r="A58" s="14"/>
      <c r="B58" s="104"/>
      <c r="C58" s="105"/>
      <c r="D58" s="14"/>
      <c r="E58" s="44"/>
      <c r="F58" s="30"/>
      <c r="G58" s="30"/>
      <c r="H58" s="14"/>
      <c r="I58" s="14"/>
      <c r="J58" s="14"/>
      <c r="K58" s="44"/>
      <c r="L58" s="44"/>
      <c r="M58" s="44"/>
      <c r="N58" s="106"/>
      <c r="O58" s="106"/>
      <c r="P58" s="106"/>
      <c r="Q58" s="106"/>
      <c r="R58" s="106"/>
      <c r="S58" s="106"/>
      <c r="T58" s="107"/>
    </row>
    <row r="59" spans="1:20" s="2" customFormat="1" x14ac:dyDescent="0.25">
      <c r="A59" s="14"/>
      <c r="B59" s="104"/>
      <c r="C59" s="105"/>
      <c r="D59" s="14"/>
      <c r="E59" s="44"/>
      <c r="F59" s="30"/>
      <c r="G59" s="30"/>
      <c r="H59" s="14"/>
      <c r="I59" s="14"/>
      <c r="J59" s="14"/>
      <c r="K59" s="44"/>
      <c r="L59" s="44"/>
      <c r="M59" s="44"/>
      <c r="N59" s="106"/>
      <c r="O59" s="106"/>
      <c r="P59" s="106"/>
      <c r="Q59" s="106"/>
      <c r="R59" s="106"/>
      <c r="S59" s="106"/>
      <c r="T59" s="107"/>
    </row>
    <row r="60" spans="1:20" s="2" customFormat="1" x14ac:dyDescent="0.25">
      <c r="A60" s="14"/>
      <c r="B60" s="104"/>
      <c r="C60" s="105"/>
      <c r="D60" s="14"/>
      <c r="E60" s="44"/>
      <c r="F60" s="30"/>
      <c r="G60" s="30"/>
      <c r="H60" s="14"/>
      <c r="I60" s="14"/>
      <c r="J60" s="14"/>
      <c r="K60" s="44"/>
      <c r="L60" s="44"/>
      <c r="M60" s="44"/>
      <c r="N60" s="106"/>
      <c r="O60" s="106"/>
      <c r="P60" s="106"/>
      <c r="Q60" s="106"/>
      <c r="R60" s="106"/>
      <c r="S60" s="106"/>
      <c r="T60" s="107"/>
    </row>
    <row r="61" spans="1:20" s="2" customFormat="1" x14ac:dyDescent="0.25">
      <c r="A61" s="14"/>
      <c r="B61" s="104"/>
      <c r="C61" s="105"/>
      <c r="D61" s="14"/>
      <c r="E61" s="44"/>
      <c r="F61" s="30"/>
      <c r="G61" s="30"/>
      <c r="H61" s="14"/>
      <c r="I61" s="14"/>
      <c r="J61" s="14"/>
      <c r="K61" s="44"/>
      <c r="L61" s="44"/>
      <c r="M61" s="44"/>
      <c r="N61" s="106"/>
      <c r="O61" s="106"/>
      <c r="P61" s="106"/>
      <c r="Q61" s="106"/>
      <c r="R61" s="106"/>
      <c r="S61" s="106"/>
      <c r="T61" s="107"/>
    </row>
    <row r="62" spans="1:20" s="2" customFormat="1" x14ac:dyDescent="0.25">
      <c r="A62" s="14"/>
      <c r="B62" s="104"/>
      <c r="C62" s="105"/>
      <c r="D62" s="14"/>
      <c r="E62" s="44"/>
      <c r="F62" s="30"/>
      <c r="G62" s="30"/>
      <c r="H62" s="14"/>
      <c r="I62" s="14"/>
      <c r="J62" s="14"/>
      <c r="K62" s="44"/>
      <c r="L62" s="44"/>
      <c r="M62" s="44"/>
      <c r="N62" s="106"/>
      <c r="O62" s="106"/>
      <c r="P62" s="106"/>
      <c r="Q62" s="106"/>
      <c r="R62" s="106"/>
      <c r="S62" s="106"/>
      <c r="T62" s="107"/>
    </row>
    <row r="63" spans="1:20" s="2" customFormat="1" ht="20.25" x14ac:dyDescent="0.3">
      <c r="A63" s="14"/>
      <c r="B63" s="14"/>
      <c r="C63" s="14"/>
      <c r="D63" s="14"/>
      <c r="E63" s="44"/>
      <c r="F63" s="30"/>
      <c r="G63" s="30"/>
      <c r="H63" s="14"/>
      <c r="I63" s="14"/>
      <c r="J63" s="77" t="s">
        <v>91</v>
      </c>
      <c r="K63" s="44"/>
      <c r="L63" s="55"/>
      <c r="M63" s="44"/>
      <c r="N63" s="30"/>
      <c r="O63" s="30"/>
      <c r="P63" s="30"/>
      <c r="Q63" s="28"/>
      <c r="R63" s="28"/>
      <c r="S63" s="28"/>
      <c r="T63" s="28"/>
    </row>
    <row r="64" spans="1:20" s="2" customFormat="1" ht="20.25" x14ac:dyDescent="0.3">
      <c r="A64" s="14"/>
      <c r="B64" s="14"/>
      <c r="C64" s="14"/>
      <c r="D64" s="14"/>
      <c r="E64" s="44"/>
      <c r="F64" s="30"/>
      <c r="G64" s="30"/>
      <c r="H64" s="14"/>
      <c r="I64" s="14"/>
      <c r="J64" s="14"/>
      <c r="K64" s="44"/>
      <c r="L64" s="55"/>
      <c r="M64" s="44"/>
      <c r="N64" s="30"/>
      <c r="O64" s="30"/>
      <c r="P64" s="30"/>
      <c r="Q64" s="28"/>
      <c r="R64" s="28"/>
      <c r="S64" s="28"/>
      <c r="T64" s="28"/>
    </row>
    <row r="65" spans="1:20" s="2" customFormat="1" ht="20.25" x14ac:dyDescent="0.3">
      <c r="A65" s="14"/>
      <c r="B65" s="14"/>
      <c r="C65" s="14"/>
      <c r="D65" s="14"/>
      <c r="E65" s="44"/>
      <c r="F65" s="30"/>
      <c r="G65" s="30"/>
      <c r="H65" s="14"/>
      <c r="I65" s="14"/>
      <c r="J65" s="14"/>
      <c r="K65" s="44"/>
      <c r="L65" s="55"/>
      <c r="M65" s="44"/>
      <c r="N65" s="30"/>
      <c r="O65" s="30"/>
      <c r="P65" s="30"/>
      <c r="Q65" s="28"/>
      <c r="R65" s="28"/>
      <c r="S65" s="28"/>
      <c r="T65" s="28"/>
    </row>
    <row r="66" spans="1:20" s="2" customFormat="1" x14ac:dyDescent="0.25">
      <c r="A66" s="125" t="s">
        <v>1</v>
      </c>
      <c r="B66" s="125" t="s">
        <v>2</v>
      </c>
      <c r="C66" s="67" t="s">
        <v>3</v>
      </c>
      <c r="D66" s="67" t="s">
        <v>5</v>
      </c>
      <c r="E66" s="128" t="s">
        <v>7</v>
      </c>
      <c r="F66" s="129"/>
      <c r="G66" s="130"/>
      <c r="H66" s="131" t="s">
        <v>8</v>
      </c>
      <c r="I66" s="131"/>
      <c r="J66" s="131"/>
      <c r="K66" s="132" t="s">
        <v>58</v>
      </c>
      <c r="L66" s="133"/>
      <c r="M66" s="134"/>
      <c r="N66" s="135" t="s">
        <v>59</v>
      </c>
      <c r="O66" s="136"/>
      <c r="P66" s="137"/>
      <c r="Q66" s="135" t="s">
        <v>60</v>
      </c>
      <c r="R66" s="136"/>
      <c r="S66" s="137"/>
      <c r="T66" s="61" t="s">
        <v>27</v>
      </c>
    </row>
    <row r="67" spans="1:20" s="2" customFormat="1" x14ac:dyDescent="0.25">
      <c r="A67" s="126"/>
      <c r="B67" s="126"/>
      <c r="C67" s="68" t="s">
        <v>4</v>
      </c>
      <c r="D67" s="68" t="s">
        <v>6</v>
      </c>
      <c r="E67" s="40" t="s">
        <v>9</v>
      </c>
      <c r="F67" s="23" t="s">
        <v>11</v>
      </c>
      <c r="G67" s="23" t="s">
        <v>55</v>
      </c>
      <c r="H67" s="119" t="s">
        <v>40</v>
      </c>
      <c r="I67" s="119"/>
      <c r="J67" s="119"/>
      <c r="K67" s="120" t="s">
        <v>57</v>
      </c>
      <c r="L67" s="121"/>
      <c r="M67" s="122"/>
      <c r="N67" s="138"/>
      <c r="O67" s="139"/>
      <c r="P67" s="140"/>
      <c r="Q67" s="138"/>
      <c r="R67" s="139"/>
      <c r="S67" s="140"/>
      <c r="T67" s="62" t="s">
        <v>26</v>
      </c>
    </row>
    <row r="68" spans="1:20" s="2" customFormat="1" x14ac:dyDescent="0.25">
      <c r="A68" s="127"/>
      <c r="B68" s="127"/>
      <c r="C68" s="69"/>
      <c r="D68" s="69"/>
      <c r="E68" s="41" t="s">
        <v>10</v>
      </c>
      <c r="F68" s="24" t="s">
        <v>12</v>
      </c>
      <c r="G68" s="24" t="s">
        <v>56</v>
      </c>
      <c r="H68" s="75">
        <v>2564</v>
      </c>
      <c r="I68" s="75">
        <v>2565</v>
      </c>
      <c r="J68" s="75">
        <v>2566</v>
      </c>
      <c r="K68" s="75">
        <v>2564</v>
      </c>
      <c r="L68" s="75">
        <v>2565</v>
      </c>
      <c r="M68" s="75">
        <v>2566</v>
      </c>
      <c r="N68" s="75">
        <v>2564</v>
      </c>
      <c r="O68" s="75">
        <v>2565</v>
      </c>
      <c r="P68" s="75">
        <v>2566</v>
      </c>
      <c r="Q68" s="75">
        <v>2564</v>
      </c>
      <c r="R68" s="75">
        <v>2565</v>
      </c>
      <c r="S68" s="75">
        <v>2566</v>
      </c>
      <c r="T68" s="63"/>
    </row>
    <row r="69" spans="1:20" s="2" customFormat="1" x14ac:dyDescent="0.25">
      <c r="A69" s="70"/>
      <c r="B69" s="89" t="s">
        <v>32</v>
      </c>
      <c r="C69" s="70"/>
      <c r="D69" s="70"/>
      <c r="E69" s="42"/>
      <c r="F69" s="25"/>
      <c r="G69" s="25"/>
      <c r="H69" s="70"/>
      <c r="I69" s="70"/>
      <c r="J69" s="70"/>
      <c r="K69" s="42"/>
      <c r="L69" s="42"/>
      <c r="M69" s="42"/>
      <c r="N69" s="103"/>
      <c r="O69" s="103"/>
      <c r="P69" s="103"/>
      <c r="Q69" s="102"/>
      <c r="R69" s="102"/>
      <c r="S69" s="102"/>
      <c r="T69" s="102"/>
    </row>
    <row r="70" spans="1:20" s="2" customFormat="1" x14ac:dyDescent="0.25">
      <c r="A70" s="70">
        <v>37</v>
      </c>
      <c r="B70" s="94" t="s">
        <v>39</v>
      </c>
      <c r="C70" s="70" t="s">
        <v>34</v>
      </c>
      <c r="D70" s="70">
        <v>1</v>
      </c>
      <c r="E70" s="42">
        <v>1</v>
      </c>
      <c r="F70" s="25">
        <f>33000*12</f>
        <v>396000</v>
      </c>
      <c r="G70" s="25">
        <f>3500*12</f>
        <v>42000</v>
      </c>
      <c r="H70" s="70">
        <v>1</v>
      </c>
      <c r="I70" s="70">
        <v>1</v>
      </c>
      <c r="J70" s="70">
        <v>1</v>
      </c>
      <c r="K70" s="42">
        <v>0</v>
      </c>
      <c r="L70" s="42">
        <v>0</v>
      </c>
      <c r="M70" s="42">
        <v>0</v>
      </c>
      <c r="N70" s="26">
        <f>(34110-33000)*12</f>
        <v>13320</v>
      </c>
      <c r="O70" s="26">
        <f>(35220-34110)*12</f>
        <v>13320</v>
      </c>
      <c r="P70" s="26">
        <f>(36310-35220)*12</f>
        <v>13080</v>
      </c>
      <c r="Q70" s="26">
        <f>F70+G70+N70</f>
        <v>451320</v>
      </c>
      <c r="R70" s="26">
        <f>F70+G70+N70+O70</f>
        <v>464640</v>
      </c>
      <c r="S70" s="26">
        <f>F70+G70+N70+O70+P70</f>
        <v>477720</v>
      </c>
      <c r="T70" s="25">
        <v>33000</v>
      </c>
    </row>
    <row r="71" spans="1:20" s="2" customFormat="1" x14ac:dyDescent="0.25">
      <c r="A71" s="70">
        <v>38</v>
      </c>
      <c r="B71" s="86" t="s">
        <v>22</v>
      </c>
      <c r="C71" s="7" t="s">
        <v>74</v>
      </c>
      <c r="D71" s="70">
        <v>1</v>
      </c>
      <c r="E71" s="42">
        <v>1</v>
      </c>
      <c r="F71" s="25">
        <f>24010*12</f>
        <v>288120</v>
      </c>
      <c r="G71" s="26">
        <v>0</v>
      </c>
      <c r="H71" s="70">
        <v>1</v>
      </c>
      <c r="I71" s="70">
        <v>1</v>
      </c>
      <c r="J71" s="70">
        <v>1</v>
      </c>
      <c r="K71" s="42">
        <v>0</v>
      </c>
      <c r="L71" s="42">
        <v>0</v>
      </c>
      <c r="M71" s="42">
        <v>0</v>
      </c>
      <c r="N71" s="26">
        <f>(24970-24010)*12</f>
        <v>11520</v>
      </c>
      <c r="O71" s="26">
        <f>(25970-24970)*12</f>
        <v>12000</v>
      </c>
      <c r="P71" s="26">
        <f>(26980-25970)*12</f>
        <v>12120</v>
      </c>
      <c r="Q71" s="26">
        <f>F71+G71+N71</f>
        <v>299640</v>
      </c>
      <c r="R71" s="26">
        <f>F71+G71+N71+O71</f>
        <v>311640</v>
      </c>
      <c r="S71" s="26">
        <f>F71+G71+N71+O71+P71</f>
        <v>323760</v>
      </c>
      <c r="T71" s="25">
        <v>24010</v>
      </c>
    </row>
    <row r="72" spans="1:20" s="2" customFormat="1" x14ac:dyDescent="0.25">
      <c r="A72" s="70"/>
      <c r="B72" s="89" t="s">
        <v>23</v>
      </c>
      <c r="C72" s="70"/>
      <c r="D72" s="70"/>
      <c r="E72" s="42"/>
      <c r="F72" s="25"/>
      <c r="G72" s="25"/>
      <c r="H72" s="70"/>
      <c r="I72" s="70"/>
      <c r="J72" s="70"/>
      <c r="K72" s="42"/>
      <c r="L72" s="42"/>
      <c r="M72" s="42"/>
      <c r="N72" s="103"/>
      <c r="O72" s="103"/>
      <c r="P72" s="103"/>
      <c r="Q72" s="102"/>
      <c r="R72" s="102"/>
      <c r="S72" s="102"/>
      <c r="T72" s="102"/>
    </row>
    <row r="73" spans="1:20" s="2" customFormat="1" x14ac:dyDescent="0.25">
      <c r="A73" s="70">
        <v>39</v>
      </c>
      <c r="B73" s="86" t="s">
        <v>70</v>
      </c>
      <c r="C73" s="70"/>
      <c r="D73" s="70">
        <v>1</v>
      </c>
      <c r="E73" s="42">
        <v>1</v>
      </c>
      <c r="F73" s="25">
        <f>11960*12</f>
        <v>143520</v>
      </c>
      <c r="G73" s="25">
        <v>0</v>
      </c>
      <c r="H73" s="70">
        <v>1</v>
      </c>
      <c r="I73" s="70">
        <v>1</v>
      </c>
      <c r="J73" s="70">
        <v>1</v>
      </c>
      <c r="K73" s="42">
        <v>0</v>
      </c>
      <c r="L73" s="42">
        <v>0</v>
      </c>
      <c r="M73" s="42">
        <v>0</v>
      </c>
      <c r="N73" s="26">
        <v>5760</v>
      </c>
      <c r="O73" s="26">
        <v>6000</v>
      </c>
      <c r="P73" s="26">
        <v>6240</v>
      </c>
      <c r="Q73" s="26">
        <f>F73+G73+N73</f>
        <v>149280</v>
      </c>
      <c r="R73" s="26">
        <f>F73+G73+N73+O73</f>
        <v>155280</v>
      </c>
      <c r="S73" s="26">
        <f>F73+G73+N73+O73+P73</f>
        <v>161520</v>
      </c>
      <c r="T73" s="25">
        <v>11960</v>
      </c>
    </row>
    <row r="74" spans="1:20" s="2" customFormat="1" x14ac:dyDescent="0.25">
      <c r="A74" s="75"/>
      <c r="B74" s="89" t="s">
        <v>71</v>
      </c>
      <c r="C74" s="75"/>
      <c r="D74" s="75"/>
      <c r="E74" s="42"/>
      <c r="F74" s="25"/>
      <c r="G74" s="25"/>
      <c r="H74" s="75"/>
      <c r="I74" s="75"/>
      <c r="J74" s="75"/>
      <c r="K74" s="42"/>
      <c r="L74" s="42"/>
      <c r="M74" s="42"/>
      <c r="N74" s="103"/>
      <c r="O74" s="103"/>
      <c r="P74" s="103"/>
      <c r="Q74" s="102"/>
      <c r="R74" s="102"/>
      <c r="S74" s="102"/>
      <c r="T74" s="102"/>
    </row>
    <row r="75" spans="1:20" s="2" customFormat="1" x14ac:dyDescent="0.25">
      <c r="A75" s="75">
        <v>40</v>
      </c>
      <c r="B75" s="86" t="s">
        <v>72</v>
      </c>
      <c r="C75" s="75" t="s">
        <v>34</v>
      </c>
      <c r="D75" s="75">
        <v>1</v>
      </c>
      <c r="E75" s="42">
        <v>1</v>
      </c>
      <c r="F75" s="25">
        <f>30220*12</f>
        <v>362640</v>
      </c>
      <c r="G75" s="25">
        <f>3500*12</f>
        <v>42000</v>
      </c>
      <c r="H75" s="75">
        <v>1</v>
      </c>
      <c r="I75" s="75">
        <v>1</v>
      </c>
      <c r="J75" s="75">
        <v>1</v>
      </c>
      <c r="K75" s="42">
        <v>0</v>
      </c>
      <c r="L75" s="42">
        <v>0</v>
      </c>
      <c r="M75" s="42">
        <v>0</v>
      </c>
      <c r="N75" s="26">
        <f>(31340-30220)*12</f>
        <v>13440</v>
      </c>
      <c r="O75" s="26">
        <f>(32450-31340)*12</f>
        <v>13320</v>
      </c>
      <c r="P75" s="26">
        <f>(33560-32450)*12</f>
        <v>13320</v>
      </c>
      <c r="Q75" s="26">
        <f>F75+G75+N75</f>
        <v>418080</v>
      </c>
      <c r="R75" s="26">
        <f t="shared" ref="R75" si="18">F75+G75+N75+O75</f>
        <v>431400</v>
      </c>
      <c r="S75" s="26">
        <f t="shared" ref="S75" si="19">F75+G75+N75+O75+P75</f>
        <v>444720</v>
      </c>
      <c r="T75" s="25">
        <v>30220</v>
      </c>
    </row>
    <row r="76" spans="1:20" s="2" customFormat="1" x14ac:dyDescent="0.25">
      <c r="A76" s="75">
        <v>41</v>
      </c>
      <c r="B76" s="86" t="s">
        <v>85</v>
      </c>
      <c r="C76" s="75" t="s">
        <v>79</v>
      </c>
      <c r="D76" s="75">
        <v>1</v>
      </c>
      <c r="E76" s="42">
        <v>1</v>
      </c>
      <c r="F76" s="25">
        <f>15060*12</f>
        <v>180720</v>
      </c>
      <c r="G76" s="25">
        <v>0</v>
      </c>
      <c r="H76" s="75">
        <v>1</v>
      </c>
      <c r="I76" s="75">
        <v>1</v>
      </c>
      <c r="J76" s="75">
        <v>1</v>
      </c>
      <c r="K76" s="42">
        <v>0</v>
      </c>
      <c r="L76" s="42">
        <v>0</v>
      </c>
      <c r="M76" s="42">
        <v>0</v>
      </c>
      <c r="N76" s="26">
        <f>(15840-15060)*12</f>
        <v>9360</v>
      </c>
      <c r="O76" s="26">
        <f>(16600-15840)*12</f>
        <v>9120</v>
      </c>
      <c r="P76" s="26">
        <f>(17290-16600)*12</f>
        <v>8280</v>
      </c>
      <c r="Q76" s="26">
        <f>F76+G76+N76</f>
        <v>190080</v>
      </c>
      <c r="R76" s="26">
        <f>F76+G76+N76+O76</f>
        <v>199200</v>
      </c>
      <c r="S76" s="26">
        <f>F76+G76+N76+O76+P76</f>
        <v>207480</v>
      </c>
      <c r="T76" s="25">
        <v>15060</v>
      </c>
    </row>
    <row r="77" spans="1:20" s="2" customFormat="1" x14ac:dyDescent="0.25">
      <c r="A77" s="75"/>
      <c r="B77" s="89" t="s">
        <v>23</v>
      </c>
      <c r="C77" s="75"/>
      <c r="D77" s="75"/>
      <c r="E77" s="42"/>
      <c r="F77" s="25"/>
      <c r="G77" s="25"/>
      <c r="H77" s="75"/>
      <c r="I77" s="75"/>
      <c r="J77" s="75"/>
      <c r="K77" s="42"/>
      <c r="L77" s="42"/>
      <c r="M77" s="42"/>
      <c r="N77" s="103"/>
      <c r="O77" s="103"/>
      <c r="P77" s="103"/>
      <c r="Q77" s="102"/>
      <c r="R77" s="102"/>
      <c r="S77" s="102"/>
      <c r="T77" s="103"/>
    </row>
    <row r="78" spans="1:20" s="2" customFormat="1" x14ac:dyDescent="0.25">
      <c r="A78" s="75">
        <v>42</v>
      </c>
      <c r="B78" s="86" t="s">
        <v>44</v>
      </c>
      <c r="C78" s="75"/>
      <c r="D78" s="75">
        <v>1</v>
      </c>
      <c r="E78" s="42">
        <v>1</v>
      </c>
      <c r="F78" s="25">
        <f>12330*12</f>
        <v>147960</v>
      </c>
      <c r="G78" s="25">
        <v>0</v>
      </c>
      <c r="H78" s="75">
        <v>1</v>
      </c>
      <c r="I78" s="75">
        <v>1</v>
      </c>
      <c r="J78" s="75">
        <v>1</v>
      </c>
      <c r="K78" s="42">
        <v>0</v>
      </c>
      <c r="L78" s="42">
        <v>0</v>
      </c>
      <c r="M78" s="42">
        <v>0</v>
      </c>
      <c r="N78" s="26">
        <v>6000</v>
      </c>
      <c r="O78" s="26">
        <v>6240</v>
      </c>
      <c r="P78" s="26">
        <v>6480</v>
      </c>
      <c r="Q78" s="26">
        <f>F78+G78+N78</f>
        <v>153960</v>
      </c>
      <c r="R78" s="26">
        <f>F78+G78+N78+O78</f>
        <v>160200</v>
      </c>
      <c r="S78" s="26">
        <f>F78+G78+N78+O78+P78</f>
        <v>166680</v>
      </c>
      <c r="T78" s="25">
        <v>12330</v>
      </c>
    </row>
    <row r="79" spans="1:20" s="2" customFormat="1" x14ac:dyDescent="0.25">
      <c r="A79" s="70"/>
      <c r="B79" s="95" t="s">
        <v>82</v>
      </c>
      <c r="C79" s="70"/>
      <c r="D79" s="70"/>
      <c r="E79" s="42"/>
      <c r="F79" s="25"/>
      <c r="G79" s="31"/>
      <c r="H79" s="70"/>
      <c r="I79" s="70"/>
      <c r="J79" s="70"/>
      <c r="K79" s="42"/>
      <c r="L79" s="42"/>
      <c r="M79" s="42"/>
      <c r="N79" s="103"/>
      <c r="O79" s="103"/>
      <c r="P79" s="103"/>
      <c r="Q79" s="102"/>
      <c r="R79" s="102"/>
      <c r="S79" s="102"/>
      <c r="T79" s="103"/>
    </row>
    <row r="80" spans="1:20" s="2" customFormat="1" x14ac:dyDescent="0.25">
      <c r="A80" s="70">
        <v>43</v>
      </c>
      <c r="B80" s="86" t="s">
        <v>35</v>
      </c>
      <c r="C80" s="7" t="s">
        <v>74</v>
      </c>
      <c r="D80" s="70">
        <v>1</v>
      </c>
      <c r="E80" s="42">
        <v>1</v>
      </c>
      <c r="F80" s="25">
        <f>31880*12</f>
        <v>382560</v>
      </c>
      <c r="G80" s="26">
        <v>0</v>
      </c>
      <c r="H80" s="70">
        <v>1</v>
      </c>
      <c r="I80" s="70">
        <v>1</v>
      </c>
      <c r="J80" s="70">
        <v>1</v>
      </c>
      <c r="K80" s="42">
        <v>0</v>
      </c>
      <c r="L80" s="42">
        <v>0</v>
      </c>
      <c r="M80" s="42">
        <v>0</v>
      </c>
      <c r="N80" s="26">
        <f>(33000-31880)*12</f>
        <v>13440</v>
      </c>
      <c r="O80" s="26">
        <f>(34110-33000)*12</f>
        <v>13320</v>
      </c>
      <c r="P80" s="26">
        <f>(35220-34110)*12</f>
        <v>13320</v>
      </c>
      <c r="Q80" s="26">
        <f>F80+G80+N80</f>
        <v>396000</v>
      </c>
      <c r="R80" s="26">
        <f>F80+G80+N80+O80</f>
        <v>409320</v>
      </c>
      <c r="S80" s="26">
        <f>F80+G80+N80+O80+P80</f>
        <v>422640</v>
      </c>
      <c r="T80" s="25">
        <v>31880</v>
      </c>
    </row>
    <row r="81" spans="1:20" s="2" customFormat="1" x14ac:dyDescent="0.25">
      <c r="A81" s="1" t="s">
        <v>18</v>
      </c>
      <c r="B81" s="96" t="s">
        <v>17</v>
      </c>
      <c r="C81" s="9"/>
      <c r="D81" s="9">
        <f>D5+D6+D8+D9+D10+D11+D12+D13+D14+D16+D17+D19+D20+D21+D22+D24+D25+D26+D27+D28+D37+D38+D40+D41+D43+D44+D45+D46+D48+D49+D50+D51+D52+D53+D55+D56+D70+D71+D73+D75+D76+D78+D80</f>
        <v>43</v>
      </c>
      <c r="E81" s="115">
        <f>E5+E6+E8+E9+E10+E11+E12+E13+E14+E16+E17+E19+E20+E21+E22+E24+E25+E26+E27+E28+E37+E38+E40+E41+E43+E44+E45+E46+E48+E49+E50+E51+E52+E53+E55+E56+E70+E71+E73+E75+E76+E78+E80</f>
        <v>41</v>
      </c>
      <c r="F81" s="109">
        <f>F5+F6+F8+F9+F10+F12+F13+F16+F17+F19+F20+F21+F22+F24+F25+F26+F27+F28+F37+F38+F40+F41+F43+F44+F45+F46+F48+F49+F50+F51+F52+F53+F55+F56+F70+F71+F73+F75+F76+F78+F80</f>
        <v>9114360</v>
      </c>
      <c r="G81" s="110">
        <f>G5+G6+G8+G9+G10+G12+G13+G16+G17+G19+G20+G21+G22+G24+G25+G26+G27+G28+G37+G38+G40+G41+G43+G44+G45+G46+G48+G49+G50+G51+G52+G53+G55+G56+G70+G71+G73+G75+G76+G78+G80</f>
        <v>462000</v>
      </c>
      <c r="H81" s="116">
        <f>H5+H6+H8+H9+H10+H11+H12+H13+H14+H16+H17+H19+H20+H21+H22+H24+H25+H26+H27+H28+H37+H38+H40+H41+H43+H44+H45+H46+H48+H49+H50+H51+H52+H53+H55+H56+H70+H71+H73+H75+H76+H78+H80</f>
        <v>42</v>
      </c>
      <c r="I81" s="116">
        <f>I5+I6+I8+I9+I10+I11+I12+I13+I14+I16+I17+I19+I20+I21+I22+I24+I25+I26+I27+I28+I37+I38+I40+I41+I43+I44+I45+I46+I48+I49+I50+I51+I52+I53+I55+I56+I70+I71+I73+I75+I76+I78+I80</f>
        <v>42</v>
      </c>
      <c r="J81" s="116">
        <f>J5+J6+J8+J9+J10+J11+J12+J13+J14+J16+J17+J19+J20+J21+J22+J24+J25+J26+J27+J28+J37+J38+J40+J41+J43+J44+J45+J46+J48+J49+J50+J51+J52+J53+J55+J56+J70+J71+J73+J75+J76+J78+J80</f>
        <v>42</v>
      </c>
      <c r="K81" s="9" t="s">
        <v>98</v>
      </c>
      <c r="L81" s="115">
        <f t="shared" ref="L81:S81" si="20">L5+L6+L8+L9+L10+L11+L12+L13+L14+L16+L17+L19+L20+L21+L22+L24+L25+L26+L27+L28+L37+L38+L40+L41+L43+L44+L45+L46+L48+L49+L50+L51+L52+L53+L55+L56+L70+L71+L73+L75+L76+L78+L80</f>
        <v>0</v>
      </c>
      <c r="M81" s="115">
        <f t="shared" si="20"/>
        <v>0</v>
      </c>
      <c r="N81" s="111">
        <f t="shared" si="20"/>
        <v>683640</v>
      </c>
      <c r="O81" s="111">
        <f t="shared" si="20"/>
        <v>346680</v>
      </c>
      <c r="P81" s="111">
        <f t="shared" si="20"/>
        <v>356760</v>
      </c>
      <c r="Q81" s="111">
        <f t="shared" si="20"/>
        <v>10260000</v>
      </c>
      <c r="R81" s="111">
        <f t="shared" si="20"/>
        <v>10606680</v>
      </c>
      <c r="S81" s="111">
        <f t="shared" si="20"/>
        <v>10963440</v>
      </c>
      <c r="T81" s="26"/>
    </row>
    <row r="82" spans="1:20" s="2" customFormat="1" x14ac:dyDescent="0.25">
      <c r="A82" s="1" t="s">
        <v>19</v>
      </c>
      <c r="B82" s="90" t="s">
        <v>73</v>
      </c>
      <c r="C82" s="1"/>
      <c r="D82" s="70"/>
      <c r="E82" s="42"/>
      <c r="F82" s="108"/>
      <c r="G82" s="32"/>
      <c r="H82" s="70"/>
      <c r="I82" s="70"/>
      <c r="J82" s="70"/>
      <c r="K82" s="42"/>
      <c r="L82" s="42"/>
      <c r="M82" s="42"/>
      <c r="N82" s="46"/>
      <c r="O82" s="46"/>
      <c r="P82" s="46"/>
      <c r="Q82" s="114">
        <f>Q81*15/100</f>
        <v>1539000</v>
      </c>
      <c r="R82" s="114">
        <f>R81*15/100</f>
        <v>1591002</v>
      </c>
      <c r="S82" s="114">
        <f>S81*15/100</f>
        <v>1644516</v>
      </c>
      <c r="T82" s="26"/>
    </row>
    <row r="83" spans="1:20" s="2" customFormat="1" x14ac:dyDescent="0.25">
      <c r="A83" s="1" t="s">
        <v>20</v>
      </c>
      <c r="B83" s="86" t="s">
        <v>25</v>
      </c>
      <c r="C83" s="1"/>
      <c r="D83" s="70"/>
      <c r="E83" s="42"/>
      <c r="F83" s="32"/>
      <c r="G83" s="32"/>
      <c r="H83" s="70"/>
      <c r="I83" s="70"/>
      <c r="J83" s="70"/>
      <c r="K83" s="42"/>
      <c r="L83" s="42"/>
      <c r="M83" s="42"/>
      <c r="N83" s="25"/>
      <c r="O83" s="25"/>
      <c r="P83" s="25"/>
      <c r="Q83" s="114">
        <f>Q81+Q82</f>
        <v>11799000</v>
      </c>
      <c r="R83" s="114">
        <f>R81+R82</f>
        <v>12197682</v>
      </c>
      <c r="S83" s="114">
        <f>S81+S82</f>
        <v>12607956</v>
      </c>
      <c r="T83" s="26"/>
    </row>
    <row r="84" spans="1:20" s="2" customFormat="1" x14ac:dyDescent="0.25">
      <c r="A84" s="10" t="s">
        <v>21</v>
      </c>
      <c r="B84" s="91" t="s">
        <v>29</v>
      </c>
      <c r="C84" s="71"/>
      <c r="D84" s="71"/>
      <c r="E84" s="45"/>
      <c r="F84" s="33"/>
      <c r="G84" s="33"/>
      <c r="H84" s="71"/>
      <c r="I84" s="71"/>
      <c r="J84" s="71"/>
      <c r="K84" s="45"/>
      <c r="L84" s="45"/>
      <c r="M84" s="45"/>
      <c r="N84" s="47"/>
      <c r="O84" s="47"/>
      <c r="P84" s="47"/>
      <c r="Q84" s="48">
        <f>Q83/F88*100</f>
        <v>36.237158520292994</v>
      </c>
      <c r="R84" s="48">
        <f>R83/F89*100</f>
        <v>35.677707651909522</v>
      </c>
      <c r="S84" s="48">
        <f>S83/F90*100</f>
        <v>35.121658927541169</v>
      </c>
      <c r="T84" s="23"/>
    </row>
    <row r="85" spans="1:20" s="2" customFormat="1" x14ac:dyDescent="0.25">
      <c r="A85" s="3"/>
      <c r="B85" s="97" t="s">
        <v>28</v>
      </c>
      <c r="C85" s="3"/>
      <c r="D85" s="3"/>
      <c r="E85" s="49"/>
      <c r="F85" s="34"/>
      <c r="G85" s="34"/>
      <c r="H85" s="24"/>
      <c r="I85" s="50"/>
      <c r="J85" s="3"/>
      <c r="K85" s="49"/>
      <c r="L85" s="49"/>
      <c r="M85" s="49"/>
      <c r="N85" s="3"/>
      <c r="O85" s="3"/>
      <c r="P85" s="3"/>
      <c r="Q85" s="3"/>
      <c r="R85" s="3"/>
      <c r="S85" s="3"/>
      <c r="T85" s="24"/>
    </row>
    <row r="86" spans="1:20" s="2" customFormat="1" ht="9.9499999999999993" customHeight="1" x14ac:dyDescent="0.25">
      <c r="A86" s="17"/>
      <c r="B86" s="18"/>
      <c r="C86" s="19"/>
      <c r="D86" s="17"/>
      <c r="E86" s="66"/>
      <c r="F86" s="35"/>
      <c r="G86" s="35"/>
      <c r="H86" s="17"/>
      <c r="I86" s="17"/>
      <c r="J86" s="17"/>
      <c r="K86" s="66"/>
      <c r="L86" s="66"/>
      <c r="M86" s="66"/>
      <c r="N86" s="35"/>
      <c r="O86" s="35"/>
      <c r="P86" s="35"/>
      <c r="Q86" s="35"/>
      <c r="R86" s="35"/>
      <c r="S86" s="35"/>
      <c r="T86" s="64"/>
    </row>
    <row r="87" spans="1:20" s="4" customFormat="1" ht="17.45" customHeight="1" x14ac:dyDescent="0.25">
      <c r="A87" s="4" t="s">
        <v>54</v>
      </c>
      <c r="F87" s="123">
        <v>31010000</v>
      </c>
      <c r="G87" s="123"/>
      <c r="H87" s="123"/>
      <c r="K87" s="56"/>
      <c r="L87" s="56"/>
      <c r="M87" s="56"/>
      <c r="T87" s="65"/>
    </row>
    <row r="88" spans="1:20" s="4" customFormat="1" ht="17.45" customHeight="1" x14ac:dyDescent="0.25">
      <c r="B88" s="4" t="s">
        <v>51</v>
      </c>
      <c r="F88" s="123">
        <f>(F87*5/100)+F87</f>
        <v>32560500</v>
      </c>
      <c r="G88" s="123"/>
      <c r="H88" s="123"/>
      <c r="K88" s="56"/>
      <c r="L88" s="56"/>
      <c r="M88" s="56"/>
      <c r="T88" s="65"/>
    </row>
    <row r="89" spans="1:20" s="4" customFormat="1" ht="17.45" customHeight="1" x14ac:dyDescent="0.25">
      <c r="B89" s="4" t="s">
        <v>52</v>
      </c>
      <c r="F89" s="123">
        <f>(F88*5/100)+F88</f>
        <v>34188525</v>
      </c>
      <c r="G89" s="123"/>
      <c r="H89" s="123"/>
      <c r="K89" s="56"/>
      <c r="L89" s="56"/>
      <c r="M89" s="56"/>
      <c r="T89" s="65"/>
    </row>
    <row r="90" spans="1:20" s="2" customFormat="1" ht="17.45" customHeight="1" x14ac:dyDescent="0.25">
      <c r="A90" s="4"/>
      <c r="B90" s="4" t="s">
        <v>53</v>
      </c>
      <c r="C90" s="4"/>
      <c r="D90" s="4"/>
      <c r="E90" s="4"/>
      <c r="F90" s="123">
        <f>(F89*5/100)+F89</f>
        <v>35897951.25</v>
      </c>
      <c r="G90" s="123"/>
      <c r="H90" s="123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64"/>
    </row>
    <row r="91" spans="1:20" s="2" customFormat="1" ht="17.45" customHeight="1" x14ac:dyDescent="0.25">
      <c r="A91" s="124"/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64"/>
    </row>
    <row r="92" spans="1:20" s="2" customFormat="1" ht="17.45" customHeight="1" x14ac:dyDescent="0.25">
      <c r="A92" s="101"/>
      <c r="B92" s="117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64"/>
    </row>
    <row r="93" spans="1:20" s="2" customFormat="1" ht="17.45" customHeight="1" x14ac:dyDescent="0.25">
      <c r="A93" s="124"/>
      <c r="B93" s="124"/>
      <c r="C93" s="124"/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124"/>
      <c r="Q93" s="124"/>
      <c r="R93" s="124"/>
      <c r="S93" s="124"/>
      <c r="T93" s="64"/>
    </row>
    <row r="94" spans="1:20" s="2" customFormat="1" ht="17.4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64"/>
    </row>
    <row r="95" spans="1:20" s="2" customFormat="1" ht="17.4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78" t="s">
        <v>92</v>
      </c>
      <c r="K95" s="4"/>
      <c r="L95" s="4"/>
      <c r="M95" s="4"/>
      <c r="N95" s="4"/>
      <c r="O95" s="4"/>
      <c r="P95" s="4"/>
      <c r="Q95" s="4"/>
      <c r="R95" s="4"/>
      <c r="S95" s="4"/>
      <c r="T95" s="64"/>
    </row>
    <row r="96" spans="1:20" s="2" customFormat="1" ht="17.45" customHeight="1" x14ac:dyDescent="0.25">
      <c r="A96" s="124"/>
      <c r="B96" s="12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64"/>
    </row>
    <row r="97" spans="1:20" s="2" customFormat="1" ht="17.45" customHeight="1" x14ac:dyDescent="0.25">
      <c r="A97" s="118"/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64"/>
    </row>
    <row r="98" spans="1:20" s="2" customFormat="1" ht="17.45" customHeight="1" x14ac:dyDescent="0.25">
      <c r="A98" s="118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64"/>
    </row>
    <row r="99" spans="1:20" s="2" customFormat="1" ht="17.45" customHeight="1" x14ac:dyDescent="0.25">
      <c r="A99" s="118"/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64"/>
    </row>
    <row r="100" spans="1:20" s="2" customFormat="1" ht="17.45" customHeight="1" x14ac:dyDescent="0.25">
      <c r="A100" s="72"/>
      <c r="B100" s="72"/>
      <c r="C100" s="72"/>
      <c r="D100" s="72"/>
      <c r="E100" s="72"/>
      <c r="F100" s="72"/>
      <c r="G100" s="74"/>
      <c r="H100" s="72"/>
      <c r="I100" s="72"/>
      <c r="J100" s="72"/>
      <c r="K100" s="57"/>
      <c r="L100" s="57"/>
      <c r="M100" s="57"/>
      <c r="N100" s="72"/>
      <c r="O100" s="72"/>
      <c r="P100" s="72"/>
      <c r="Q100" s="72"/>
      <c r="R100" s="72"/>
      <c r="S100" s="72"/>
      <c r="T100" s="64"/>
    </row>
    <row r="101" spans="1:20" s="5" customFormat="1" ht="20.25" x14ac:dyDescent="0.3">
      <c r="A101" s="20"/>
      <c r="C101" s="20"/>
      <c r="D101" s="20"/>
      <c r="E101" s="51"/>
      <c r="F101" s="36"/>
      <c r="G101" s="36"/>
      <c r="H101" s="20"/>
      <c r="K101" s="58"/>
      <c r="L101" s="55"/>
      <c r="M101" s="58"/>
      <c r="T101" s="64"/>
    </row>
    <row r="102" spans="1:20" s="5" customFormat="1" ht="18.75" x14ac:dyDescent="0.3">
      <c r="A102" s="20"/>
      <c r="C102" s="20"/>
      <c r="D102" s="20"/>
      <c r="E102" s="51"/>
      <c r="F102" s="36"/>
      <c r="G102" s="36"/>
      <c r="H102" s="20"/>
      <c r="K102" s="58"/>
      <c r="L102" s="58"/>
      <c r="M102" s="58"/>
      <c r="T102" s="64"/>
    </row>
    <row r="103" spans="1:20" s="5" customFormat="1" ht="18.75" x14ac:dyDescent="0.3">
      <c r="A103" s="20"/>
      <c r="C103" s="20"/>
      <c r="D103" s="20"/>
      <c r="E103" s="51"/>
      <c r="F103" s="36"/>
      <c r="G103" s="36"/>
      <c r="H103" s="20"/>
      <c r="K103" s="58"/>
      <c r="L103" s="58"/>
      <c r="M103" s="58"/>
      <c r="T103" s="64"/>
    </row>
    <row r="104" spans="1:20" s="5" customFormat="1" ht="18.75" x14ac:dyDescent="0.3">
      <c r="A104" s="20"/>
      <c r="C104" s="20"/>
      <c r="D104" s="20"/>
      <c r="E104" s="51"/>
      <c r="F104" s="36"/>
      <c r="G104" s="36"/>
      <c r="H104" s="20"/>
      <c r="K104" s="58"/>
      <c r="L104" s="58"/>
      <c r="M104" s="58"/>
      <c r="T104" s="64"/>
    </row>
    <row r="105" spans="1:20" s="5" customFormat="1" ht="18.75" x14ac:dyDescent="0.3">
      <c r="A105" s="20"/>
      <c r="B105" s="22"/>
      <c r="C105" s="20"/>
      <c r="D105" s="20"/>
      <c r="E105" s="51"/>
      <c r="F105" s="36"/>
      <c r="G105" s="36"/>
      <c r="H105" s="20"/>
      <c r="K105" s="58"/>
      <c r="L105" s="58"/>
      <c r="M105" s="58"/>
      <c r="T105" s="64"/>
    </row>
    <row r="106" spans="1:20" s="5" customFormat="1" ht="18.75" x14ac:dyDescent="0.3">
      <c r="A106" s="20"/>
      <c r="C106" s="20"/>
      <c r="D106" s="20"/>
      <c r="E106" s="51"/>
      <c r="F106" s="36"/>
      <c r="G106" s="36"/>
      <c r="H106" s="20"/>
      <c r="K106" s="58"/>
      <c r="L106" s="58"/>
      <c r="M106" s="58"/>
      <c r="T106" s="64"/>
    </row>
    <row r="107" spans="1:20" s="5" customFormat="1" ht="18.75" x14ac:dyDescent="0.3">
      <c r="A107" s="20"/>
      <c r="C107" s="20"/>
      <c r="D107" s="20"/>
      <c r="E107" s="51"/>
      <c r="F107" s="36"/>
      <c r="G107" s="36"/>
      <c r="H107" s="20"/>
      <c r="K107" s="58"/>
      <c r="L107" s="58"/>
      <c r="M107" s="58"/>
      <c r="T107" s="64"/>
    </row>
    <row r="108" spans="1:20" s="5" customFormat="1" ht="18.75" x14ac:dyDescent="0.3">
      <c r="A108" s="20"/>
      <c r="C108" s="20"/>
      <c r="D108" s="20"/>
      <c r="E108" s="51"/>
      <c r="F108" s="36"/>
      <c r="G108" s="36"/>
      <c r="H108" s="20"/>
      <c r="K108" s="58"/>
      <c r="L108" s="58"/>
      <c r="M108" s="58"/>
      <c r="T108" s="64"/>
    </row>
  </sheetData>
  <mergeCells count="38">
    <mergeCell ref="A99:S99"/>
    <mergeCell ref="A91:S91"/>
    <mergeCell ref="A93:S93"/>
    <mergeCell ref="A96:S96"/>
    <mergeCell ref="N66:P67"/>
    <mergeCell ref="Q66:S67"/>
    <mergeCell ref="H67:J67"/>
    <mergeCell ref="F87:H87"/>
    <mergeCell ref="F88:H88"/>
    <mergeCell ref="E66:G66"/>
    <mergeCell ref="K66:M66"/>
    <mergeCell ref="K67:M67"/>
    <mergeCell ref="F90:H90"/>
    <mergeCell ref="F89:H89"/>
    <mergeCell ref="A97:S97"/>
    <mergeCell ref="A98:S98"/>
    <mergeCell ref="N2:P3"/>
    <mergeCell ref="Q2:S3"/>
    <mergeCell ref="H3:J3"/>
    <mergeCell ref="A33:A35"/>
    <mergeCell ref="B33:B35"/>
    <mergeCell ref="H33:J33"/>
    <mergeCell ref="N33:P34"/>
    <mergeCell ref="Q33:S34"/>
    <mergeCell ref="E2:G2"/>
    <mergeCell ref="K2:M2"/>
    <mergeCell ref="K3:M3"/>
    <mergeCell ref="E33:G33"/>
    <mergeCell ref="K33:M33"/>
    <mergeCell ref="K34:M34"/>
    <mergeCell ref="H34:J34"/>
    <mergeCell ref="A1:I1"/>
    <mergeCell ref="A2:A4"/>
    <mergeCell ref="B2:B4"/>
    <mergeCell ref="H2:J2"/>
    <mergeCell ref="A66:A68"/>
    <mergeCell ref="B66:B68"/>
    <mergeCell ref="H66:J66"/>
  </mergeCells>
  <pageMargins left="7.874015748031496E-2" right="3.937007874015748E-2" top="0.7086614173228347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ภาระ คชจ. เปิด นสธ. ยุบ สธ</vt:lpstr>
      <vt:lpstr>Sheet2</vt:lpstr>
      <vt:lpstr>Sheet3</vt:lpstr>
    </vt:vector>
  </TitlesOfParts>
  <Company>Computer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HomeUser</dc:creator>
  <cp:lastModifiedBy>Windows User</cp:lastModifiedBy>
  <cp:lastPrinted>2020-08-25T03:44:15Z</cp:lastPrinted>
  <dcterms:created xsi:type="dcterms:W3CDTF">2013-03-22T07:07:00Z</dcterms:created>
  <dcterms:modified xsi:type="dcterms:W3CDTF">2020-08-25T08:42:08Z</dcterms:modified>
</cp:coreProperties>
</file>